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genevievediesing/Desktop/"/>
    </mc:Choice>
  </mc:AlternateContent>
  <xr:revisionPtr revIDLastSave="0" documentId="8_{37170B68-EBB9-5F4A-B74E-DCA524090CD6}" xr6:coauthVersionLast="47" xr6:coauthVersionMax="47" xr10:uidLastSave="{00000000-0000-0000-0000-000000000000}"/>
  <bookViews>
    <workbookView xWindow="0" yWindow="760" windowWidth="30240" windowHeight="17300" xr2:uid="{00000000-000D-0000-FFFF-FFFF00000000}"/>
  </bookViews>
  <sheets>
    <sheet name="Assumptions" sheetId="1" r:id="rId1"/>
    <sheet name="Financial Pro Forma" sheetId="2" r:id="rId2"/>
    <sheet name="How to Use" sheetId="3" r:id="rId3"/>
  </sheets>
  <definedNames>
    <definedName name="AdminGrowth">Assumptions!$D$25</definedName>
    <definedName name="AdminY1">Assumptions!$D$24</definedName>
    <definedName name="CreditsPerStudent">Assumptions!$D$11</definedName>
    <definedName name="FacDevGrowth">Assumptions!$D$16</definedName>
    <definedName name="FacDevRevY1">Assumptions!$D$15</definedName>
    <definedName name="FacultyFTE">Assumptions!$D$4</definedName>
    <definedName name="HoursPerWeek">Assumptions!$D$5</definedName>
    <definedName name="PracticeGrowth">Assumptions!$D$8</definedName>
    <definedName name="RatePerHour">Assumptions!$D$7</definedName>
    <definedName name="SalaryFTECount">Assumptions!$D$18</definedName>
    <definedName name="SalaryGrowth">Assumptions!$D$19</definedName>
    <definedName name="SalaryPerFTE">Assumptions!$D$17</definedName>
    <definedName name="SimGrowth">Assumptions!$D$14</definedName>
    <definedName name="SimOpsGrowth">Assumptions!$D$21</definedName>
    <definedName name="SimOpsY1">Assumptions!$D$20</definedName>
    <definedName name="SimRevY1">Assumptions!$D$13</definedName>
    <definedName name="StartYear">Assumptions!$D$2</definedName>
    <definedName name="StudentGrowth">Assumptions!$D$10</definedName>
    <definedName name="StudentsY1">Assumptions!$D$9</definedName>
    <definedName name="TrainDevGrowth">Assumptions!$D$23</definedName>
    <definedName name="TrainDevY1">Assumptions!$D$22</definedName>
    <definedName name="TuitionPerCredit">Assumptions!$D$12</definedName>
    <definedName name="WeeksPerYear">Assumptions!$D$6</definedName>
    <definedName name="Years">Assumptions!$D$3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6" i="2" l="1"/>
  <c r="J2026" i="2"/>
  <c r="I2026" i="2"/>
  <c r="H2026" i="2"/>
  <c r="L2026" i="2" s="1"/>
  <c r="F2026" i="2"/>
  <c r="E2026" i="2"/>
  <c r="D2026" i="2"/>
  <c r="C2026" i="2"/>
  <c r="B2026" i="2"/>
  <c r="G2026" i="2" s="1"/>
  <c r="M2026" i="2" s="1"/>
  <c r="A2026" i="2"/>
  <c r="K2025" i="2"/>
  <c r="J2025" i="2"/>
  <c r="I2025" i="2"/>
  <c r="H2025" i="2"/>
  <c r="E2025" i="2"/>
  <c r="D2025" i="2"/>
  <c r="C2025" i="2"/>
  <c r="F2025" i="2" s="1"/>
  <c r="G2025" i="2" s="1"/>
  <c r="B2025" i="2"/>
  <c r="A2025" i="2"/>
  <c r="L2024" i="2"/>
  <c r="K2024" i="2"/>
  <c r="J2024" i="2"/>
  <c r="I2024" i="2"/>
  <c r="H2024" i="2"/>
  <c r="F2024" i="2"/>
  <c r="E2024" i="2"/>
  <c r="D2024" i="2"/>
  <c r="C2024" i="2"/>
  <c r="B2024" i="2"/>
  <c r="G2024" i="2" s="1"/>
  <c r="M2024" i="2" s="1"/>
  <c r="A2024" i="2"/>
  <c r="K2023" i="2"/>
  <c r="J2023" i="2"/>
  <c r="I2023" i="2"/>
  <c r="L2023" i="2" s="1"/>
  <c r="H2023" i="2"/>
  <c r="E2023" i="2"/>
  <c r="D2023" i="2"/>
  <c r="C2023" i="2"/>
  <c r="B2023" i="2"/>
  <c r="A2023" i="2"/>
  <c r="K2022" i="2"/>
  <c r="J2022" i="2"/>
  <c r="I2022" i="2"/>
  <c r="H2022" i="2"/>
  <c r="L2022" i="2" s="1"/>
  <c r="F2022" i="2"/>
  <c r="E2022" i="2"/>
  <c r="D2022" i="2"/>
  <c r="C2022" i="2"/>
  <c r="B2022" i="2"/>
  <c r="G2022" i="2" s="1"/>
  <c r="A2022" i="2"/>
  <c r="K2021" i="2"/>
  <c r="J2021" i="2"/>
  <c r="I2021" i="2"/>
  <c r="H2021" i="2"/>
  <c r="E2021" i="2"/>
  <c r="D2021" i="2"/>
  <c r="C2021" i="2"/>
  <c r="F2021" i="2" s="1"/>
  <c r="G2021" i="2" s="1"/>
  <c r="B2021" i="2"/>
  <c r="A2021" i="2"/>
  <c r="K2020" i="2"/>
  <c r="J2020" i="2"/>
  <c r="I2020" i="2"/>
  <c r="H2020" i="2"/>
  <c r="L2020" i="2" s="1"/>
  <c r="E2020" i="2"/>
  <c r="D2020" i="2"/>
  <c r="C2020" i="2"/>
  <c r="B2020" i="2"/>
  <c r="A2020" i="2"/>
  <c r="K2019" i="2"/>
  <c r="J2019" i="2"/>
  <c r="I2019" i="2"/>
  <c r="H2019" i="2"/>
  <c r="L2019" i="2" s="1"/>
  <c r="E2019" i="2"/>
  <c r="D2019" i="2"/>
  <c r="C2019" i="2"/>
  <c r="F2019" i="2" s="1"/>
  <c r="G2019" i="2" s="1"/>
  <c r="M2019" i="2" s="1"/>
  <c r="B2019" i="2"/>
  <c r="A2019" i="2"/>
  <c r="K2018" i="2"/>
  <c r="J2018" i="2"/>
  <c r="I2018" i="2"/>
  <c r="H2018" i="2"/>
  <c r="E2018" i="2"/>
  <c r="D2018" i="2"/>
  <c r="F2018" i="2" s="1"/>
  <c r="G2018" i="2" s="1"/>
  <c r="C2018" i="2"/>
  <c r="B2018" i="2"/>
  <c r="A2018" i="2"/>
  <c r="K2017" i="2"/>
  <c r="J2017" i="2"/>
  <c r="I2017" i="2"/>
  <c r="L2017" i="2" s="1"/>
  <c r="H2017" i="2"/>
  <c r="E2017" i="2"/>
  <c r="D2017" i="2"/>
  <c r="C2017" i="2"/>
  <c r="F2017" i="2" s="1"/>
  <c r="G2017" i="2" s="1"/>
  <c r="B2017" i="2"/>
  <c r="A2017" i="2"/>
  <c r="K2016" i="2"/>
  <c r="J2016" i="2"/>
  <c r="L2016" i="2" s="1"/>
  <c r="I2016" i="2"/>
  <c r="H2016" i="2"/>
  <c r="F2016" i="2"/>
  <c r="E2016" i="2"/>
  <c r="D2016" i="2"/>
  <c r="C2016" i="2"/>
  <c r="B2016" i="2"/>
  <c r="G2016" i="2" s="1"/>
  <c r="M2016" i="2" s="1"/>
  <c r="A2016" i="2"/>
  <c r="K2015" i="2"/>
  <c r="J2015" i="2"/>
  <c r="I2015" i="2"/>
  <c r="H2015" i="2"/>
  <c r="L2015" i="2" s="1"/>
  <c r="E2015" i="2"/>
  <c r="D2015" i="2"/>
  <c r="C2015" i="2"/>
  <c r="F2015" i="2" s="1"/>
  <c r="G2015" i="2" s="1"/>
  <c r="B2015" i="2"/>
  <c r="A2015" i="2"/>
  <c r="L2014" i="2"/>
  <c r="K2014" i="2"/>
  <c r="J2014" i="2"/>
  <c r="I2014" i="2"/>
  <c r="H2014" i="2"/>
  <c r="F2014" i="2"/>
  <c r="E2014" i="2"/>
  <c r="D2014" i="2"/>
  <c r="C2014" i="2"/>
  <c r="B2014" i="2"/>
  <c r="G2014" i="2" s="1"/>
  <c r="M2014" i="2" s="1"/>
  <c r="A2014" i="2"/>
  <c r="K2013" i="2"/>
  <c r="J2013" i="2"/>
  <c r="I2013" i="2"/>
  <c r="L2013" i="2" s="1"/>
  <c r="H2013" i="2"/>
  <c r="E2013" i="2"/>
  <c r="D2013" i="2"/>
  <c r="C2013" i="2"/>
  <c r="F2013" i="2" s="1"/>
  <c r="B2013" i="2"/>
  <c r="A2013" i="2"/>
  <c r="K2012" i="2"/>
  <c r="J2012" i="2"/>
  <c r="I2012" i="2"/>
  <c r="H2012" i="2"/>
  <c r="L2012" i="2" s="1"/>
  <c r="F2012" i="2"/>
  <c r="E2012" i="2"/>
  <c r="D2012" i="2"/>
  <c r="C2012" i="2"/>
  <c r="B2012" i="2"/>
  <c r="G2012" i="2" s="1"/>
  <c r="A2012" i="2"/>
  <c r="K2011" i="2"/>
  <c r="J2011" i="2"/>
  <c r="I2011" i="2"/>
  <c r="H2011" i="2"/>
  <c r="L2011" i="2" s="1"/>
  <c r="E2011" i="2"/>
  <c r="D2011" i="2"/>
  <c r="C2011" i="2"/>
  <c r="F2011" i="2" s="1"/>
  <c r="G2011" i="2" s="1"/>
  <c r="B2011" i="2"/>
  <c r="A2011" i="2"/>
  <c r="K2010" i="2"/>
  <c r="J2010" i="2"/>
  <c r="I2010" i="2"/>
  <c r="H2010" i="2"/>
  <c r="L2010" i="2" s="1"/>
  <c r="E2010" i="2"/>
  <c r="D2010" i="2"/>
  <c r="C2010" i="2"/>
  <c r="B2010" i="2"/>
  <c r="A2010" i="2"/>
  <c r="K2009" i="2"/>
  <c r="J2009" i="2"/>
  <c r="I2009" i="2"/>
  <c r="H2009" i="2"/>
  <c r="L2009" i="2" s="1"/>
  <c r="G2009" i="2"/>
  <c r="M2009" i="2" s="1"/>
  <c r="E2009" i="2"/>
  <c r="D2009" i="2"/>
  <c r="C2009" i="2"/>
  <c r="F2009" i="2" s="1"/>
  <c r="B2009" i="2"/>
  <c r="A2009" i="2"/>
  <c r="K2008" i="2"/>
  <c r="J2008" i="2"/>
  <c r="I2008" i="2"/>
  <c r="H2008" i="2"/>
  <c r="E2008" i="2"/>
  <c r="D2008" i="2"/>
  <c r="C2008" i="2"/>
  <c r="F2008" i="2" s="1"/>
  <c r="G2008" i="2" s="1"/>
  <c r="B2008" i="2"/>
  <c r="A2008" i="2"/>
  <c r="K2007" i="2"/>
  <c r="J2007" i="2"/>
  <c r="I2007" i="2"/>
  <c r="L2007" i="2" s="1"/>
  <c r="H2007" i="2"/>
  <c r="E2007" i="2"/>
  <c r="D2007" i="2"/>
  <c r="C2007" i="2"/>
  <c r="F2007" i="2" s="1"/>
  <c r="G2007" i="2" s="1"/>
  <c r="M2007" i="2" s="1"/>
  <c r="B2007" i="2"/>
  <c r="A2007" i="2"/>
  <c r="K2006" i="2"/>
  <c r="J2006" i="2"/>
  <c r="I2006" i="2"/>
  <c r="L2006" i="2" s="1"/>
  <c r="H2006" i="2"/>
  <c r="F2006" i="2"/>
  <c r="E2006" i="2"/>
  <c r="D2006" i="2"/>
  <c r="C2006" i="2"/>
  <c r="B2006" i="2"/>
  <c r="A2006" i="2"/>
  <c r="K2005" i="2"/>
  <c r="J2005" i="2"/>
  <c r="I2005" i="2"/>
  <c r="L2005" i="2" s="1"/>
  <c r="H2005" i="2"/>
  <c r="E2005" i="2"/>
  <c r="D2005" i="2"/>
  <c r="C2005" i="2"/>
  <c r="F2005" i="2" s="1"/>
  <c r="G2005" i="2" s="1"/>
  <c r="M2005" i="2" s="1"/>
  <c r="B2005" i="2"/>
  <c r="A2005" i="2"/>
  <c r="L2004" i="2"/>
  <c r="K2004" i="2"/>
  <c r="J2004" i="2"/>
  <c r="I2004" i="2"/>
  <c r="H2004" i="2"/>
  <c r="F2004" i="2"/>
  <c r="E2004" i="2"/>
  <c r="D2004" i="2"/>
  <c r="C2004" i="2"/>
  <c r="B2004" i="2"/>
  <c r="G2004" i="2" s="1"/>
  <c r="A2004" i="2"/>
  <c r="K2003" i="2"/>
  <c r="J2003" i="2"/>
  <c r="I2003" i="2"/>
  <c r="H2003" i="2"/>
  <c r="L2003" i="2" s="1"/>
  <c r="E2003" i="2"/>
  <c r="D2003" i="2"/>
  <c r="C2003" i="2"/>
  <c r="F2003" i="2" s="1"/>
  <c r="B2003" i="2"/>
  <c r="G2003" i="2" s="1"/>
  <c r="M2003" i="2" s="1"/>
  <c r="A2003" i="2"/>
  <c r="K2002" i="2"/>
  <c r="J2002" i="2"/>
  <c r="I2002" i="2"/>
  <c r="H2002" i="2"/>
  <c r="L2002" i="2" s="1"/>
  <c r="F2002" i="2"/>
  <c r="E2002" i="2"/>
  <c r="D2002" i="2"/>
  <c r="C2002" i="2"/>
  <c r="B2002" i="2"/>
  <c r="G2002" i="2" s="1"/>
  <c r="M2002" i="2" s="1"/>
  <c r="A2002" i="2"/>
  <c r="K2001" i="2"/>
  <c r="J2001" i="2"/>
  <c r="I2001" i="2"/>
  <c r="H2001" i="2"/>
  <c r="L2001" i="2" s="1"/>
  <c r="E2001" i="2"/>
  <c r="D2001" i="2"/>
  <c r="C2001" i="2"/>
  <c r="F2001" i="2" s="1"/>
  <c r="G2001" i="2" s="1"/>
  <c r="B2001" i="2"/>
  <c r="A2001" i="2"/>
  <c r="K2000" i="2"/>
  <c r="J2000" i="2"/>
  <c r="I2000" i="2"/>
  <c r="H2000" i="2"/>
  <c r="L2000" i="2" s="1"/>
  <c r="E2000" i="2"/>
  <c r="D2000" i="2"/>
  <c r="C2000" i="2"/>
  <c r="B2000" i="2"/>
  <c r="A2000" i="2"/>
  <c r="K1999" i="2"/>
  <c r="J1999" i="2"/>
  <c r="I1999" i="2"/>
  <c r="H1999" i="2"/>
  <c r="L1999" i="2" s="1"/>
  <c r="G1999" i="2"/>
  <c r="E1999" i="2"/>
  <c r="D1999" i="2"/>
  <c r="C1999" i="2"/>
  <c r="F1999" i="2" s="1"/>
  <c r="B1999" i="2"/>
  <c r="A1999" i="2"/>
  <c r="K1998" i="2"/>
  <c r="J1998" i="2"/>
  <c r="I1998" i="2"/>
  <c r="H1998" i="2"/>
  <c r="L1998" i="2" s="1"/>
  <c r="E1998" i="2"/>
  <c r="D1998" i="2"/>
  <c r="C1998" i="2"/>
  <c r="F1998" i="2" s="1"/>
  <c r="G1998" i="2" s="1"/>
  <c r="M1998" i="2" s="1"/>
  <c r="B1998" i="2"/>
  <c r="A1998" i="2"/>
  <c r="M1997" i="2"/>
  <c r="K1997" i="2"/>
  <c r="J1997" i="2"/>
  <c r="I1997" i="2"/>
  <c r="L1997" i="2" s="1"/>
  <c r="H1997" i="2"/>
  <c r="E1997" i="2"/>
  <c r="D1997" i="2"/>
  <c r="C1997" i="2"/>
  <c r="F1997" i="2" s="1"/>
  <c r="G1997" i="2" s="1"/>
  <c r="B1997" i="2"/>
  <c r="A1997" i="2"/>
  <c r="K1996" i="2"/>
  <c r="J1996" i="2"/>
  <c r="I1996" i="2"/>
  <c r="L1996" i="2" s="1"/>
  <c r="H1996" i="2"/>
  <c r="F1996" i="2"/>
  <c r="E1996" i="2"/>
  <c r="D1996" i="2"/>
  <c r="C1996" i="2"/>
  <c r="B1996" i="2"/>
  <c r="A1996" i="2"/>
  <c r="K1995" i="2"/>
  <c r="J1995" i="2"/>
  <c r="I1995" i="2"/>
  <c r="L1995" i="2" s="1"/>
  <c r="H1995" i="2"/>
  <c r="E1995" i="2"/>
  <c r="D1995" i="2"/>
  <c r="C1995" i="2"/>
  <c r="F1995" i="2" s="1"/>
  <c r="G1995" i="2" s="1"/>
  <c r="M1995" i="2" s="1"/>
  <c r="B1995" i="2"/>
  <c r="A1995" i="2"/>
  <c r="L1994" i="2"/>
  <c r="K1994" i="2"/>
  <c r="J1994" i="2"/>
  <c r="I1994" i="2"/>
  <c r="H1994" i="2"/>
  <c r="F1994" i="2"/>
  <c r="E1994" i="2"/>
  <c r="D1994" i="2"/>
  <c r="C1994" i="2"/>
  <c r="B1994" i="2"/>
  <c r="G1994" i="2" s="1"/>
  <c r="M1994" i="2" s="1"/>
  <c r="A1994" i="2"/>
  <c r="K1993" i="2"/>
  <c r="J1993" i="2"/>
  <c r="I1993" i="2"/>
  <c r="H1993" i="2"/>
  <c r="L1993" i="2" s="1"/>
  <c r="E1993" i="2"/>
  <c r="D1993" i="2"/>
  <c r="C1993" i="2"/>
  <c r="F1993" i="2" s="1"/>
  <c r="B1993" i="2"/>
  <c r="G1993" i="2" s="1"/>
  <c r="M1993" i="2" s="1"/>
  <c r="A1993" i="2"/>
  <c r="K1992" i="2"/>
  <c r="J1992" i="2"/>
  <c r="I1992" i="2"/>
  <c r="H1992" i="2"/>
  <c r="L1992" i="2" s="1"/>
  <c r="F1992" i="2"/>
  <c r="E1992" i="2"/>
  <c r="D1992" i="2"/>
  <c r="C1992" i="2"/>
  <c r="B1992" i="2"/>
  <c r="G1992" i="2" s="1"/>
  <c r="M1992" i="2" s="1"/>
  <c r="A1992" i="2"/>
  <c r="K1991" i="2"/>
  <c r="J1991" i="2"/>
  <c r="I1991" i="2"/>
  <c r="H1991" i="2"/>
  <c r="E1991" i="2"/>
  <c r="D1991" i="2"/>
  <c r="C1991" i="2"/>
  <c r="F1991" i="2" s="1"/>
  <c r="G1991" i="2" s="1"/>
  <c r="B1991" i="2"/>
  <c r="A1991" i="2"/>
  <c r="K1990" i="2"/>
  <c r="J1990" i="2"/>
  <c r="I1990" i="2"/>
  <c r="H1990" i="2"/>
  <c r="L1990" i="2" s="1"/>
  <c r="E1990" i="2"/>
  <c r="D1990" i="2"/>
  <c r="C1990" i="2"/>
  <c r="F1990" i="2" s="1"/>
  <c r="B1990" i="2"/>
  <c r="A1990" i="2"/>
  <c r="K1989" i="2"/>
  <c r="J1989" i="2"/>
  <c r="I1989" i="2"/>
  <c r="L1989" i="2" s="1"/>
  <c r="H1989" i="2"/>
  <c r="G1989" i="2"/>
  <c r="M1989" i="2" s="1"/>
  <c r="E1989" i="2"/>
  <c r="D1989" i="2"/>
  <c r="C1989" i="2"/>
  <c r="F1989" i="2" s="1"/>
  <c r="B1989" i="2"/>
  <c r="A1989" i="2"/>
  <c r="K1988" i="2"/>
  <c r="J1988" i="2"/>
  <c r="I1988" i="2"/>
  <c r="H1988" i="2"/>
  <c r="L1988" i="2" s="1"/>
  <c r="E1988" i="2"/>
  <c r="D1988" i="2"/>
  <c r="C1988" i="2"/>
  <c r="F1988" i="2" s="1"/>
  <c r="G1988" i="2" s="1"/>
  <c r="B1988" i="2"/>
  <c r="A1988" i="2"/>
  <c r="M1987" i="2"/>
  <c r="K1987" i="2"/>
  <c r="J1987" i="2"/>
  <c r="I1987" i="2"/>
  <c r="L1987" i="2" s="1"/>
  <c r="H1987" i="2"/>
  <c r="E1987" i="2"/>
  <c r="D1987" i="2"/>
  <c r="C1987" i="2"/>
  <c r="F1987" i="2" s="1"/>
  <c r="G1987" i="2" s="1"/>
  <c r="B1987" i="2"/>
  <c r="A1987" i="2"/>
  <c r="K1986" i="2"/>
  <c r="J1986" i="2"/>
  <c r="I1986" i="2"/>
  <c r="L1986" i="2" s="1"/>
  <c r="H1986" i="2"/>
  <c r="F1986" i="2"/>
  <c r="E1986" i="2"/>
  <c r="D1986" i="2"/>
  <c r="C1986" i="2"/>
  <c r="B1986" i="2"/>
  <c r="A1986" i="2"/>
  <c r="K1985" i="2"/>
  <c r="J1985" i="2"/>
  <c r="I1985" i="2"/>
  <c r="L1985" i="2" s="1"/>
  <c r="H1985" i="2"/>
  <c r="E1985" i="2"/>
  <c r="D1985" i="2"/>
  <c r="C1985" i="2"/>
  <c r="F1985" i="2" s="1"/>
  <c r="G1985" i="2" s="1"/>
  <c r="B1985" i="2"/>
  <c r="A1985" i="2"/>
  <c r="L1984" i="2"/>
  <c r="K1984" i="2"/>
  <c r="J1984" i="2"/>
  <c r="I1984" i="2"/>
  <c r="H1984" i="2"/>
  <c r="F1984" i="2"/>
  <c r="E1984" i="2"/>
  <c r="D1984" i="2"/>
  <c r="C1984" i="2"/>
  <c r="B1984" i="2"/>
  <c r="G1984" i="2" s="1"/>
  <c r="M1984" i="2" s="1"/>
  <c r="A1984" i="2"/>
  <c r="K1983" i="2"/>
  <c r="J1983" i="2"/>
  <c r="I1983" i="2"/>
  <c r="H1983" i="2"/>
  <c r="L1983" i="2" s="1"/>
  <c r="E1983" i="2"/>
  <c r="D1983" i="2"/>
  <c r="C1983" i="2"/>
  <c r="B1983" i="2"/>
  <c r="A1983" i="2"/>
  <c r="K1982" i="2"/>
  <c r="J1982" i="2"/>
  <c r="I1982" i="2"/>
  <c r="H1982" i="2"/>
  <c r="L1982" i="2" s="1"/>
  <c r="F1982" i="2"/>
  <c r="E1982" i="2"/>
  <c r="D1982" i="2"/>
  <c r="C1982" i="2"/>
  <c r="B1982" i="2"/>
  <c r="G1982" i="2" s="1"/>
  <c r="A1982" i="2"/>
  <c r="K1981" i="2"/>
  <c r="J1981" i="2"/>
  <c r="I1981" i="2"/>
  <c r="H1981" i="2"/>
  <c r="L1981" i="2" s="1"/>
  <c r="E1981" i="2"/>
  <c r="D1981" i="2"/>
  <c r="F1981" i="2" s="1"/>
  <c r="G1981" i="2" s="1"/>
  <c r="M1981" i="2" s="1"/>
  <c r="C1981" i="2"/>
  <c r="B1981" i="2"/>
  <c r="A1981" i="2"/>
  <c r="K1980" i="2"/>
  <c r="J1980" i="2"/>
  <c r="I1980" i="2"/>
  <c r="H1980" i="2"/>
  <c r="L1980" i="2" s="1"/>
  <c r="E1980" i="2"/>
  <c r="D1980" i="2"/>
  <c r="C1980" i="2"/>
  <c r="F1980" i="2" s="1"/>
  <c r="B1980" i="2"/>
  <c r="G1980" i="2" s="1"/>
  <c r="M1980" i="2" s="1"/>
  <c r="A1980" i="2"/>
  <c r="K1979" i="2"/>
  <c r="J1979" i="2"/>
  <c r="I1979" i="2"/>
  <c r="L1979" i="2" s="1"/>
  <c r="H1979" i="2"/>
  <c r="E1979" i="2"/>
  <c r="D1979" i="2"/>
  <c r="C1979" i="2"/>
  <c r="F1979" i="2" s="1"/>
  <c r="G1979" i="2" s="1"/>
  <c r="M1979" i="2" s="1"/>
  <c r="B1979" i="2"/>
  <c r="A1979" i="2"/>
  <c r="K1978" i="2"/>
  <c r="J1978" i="2"/>
  <c r="I1978" i="2"/>
  <c r="H1978" i="2"/>
  <c r="E1978" i="2"/>
  <c r="D1978" i="2"/>
  <c r="C1978" i="2"/>
  <c r="F1978" i="2" s="1"/>
  <c r="G1978" i="2" s="1"/>
  <c r="B1978" i="2"/>
  <c r="A1978" i="2"/>
  <c r="K1977" i="2"/>
  <c r="J1977" i="2"/>
  <c r="I1977" i="2"/>
  <c r="L1977" i="2" s="1"/>
  <c r="H1977" i="2"/>
  <c r="E1977" i="2"/>
  <c r="D1977" i="2"/>
  <c r="C1977" i="2"/>
  <c r="F1977" i="2" s="1"/>
  <c r="G1977" i="2" s="1"/>
  <c r="M1977" i="2" s="1"/>
  <c r="B1977" i="2"/>
  <c r="A1977" i="2"/>
  <c r="K1976" i="2"/>
  <c r="J1976" i="2"/>
  <c r="I1976" i="2"/>
  <c r="L1976" i="2" s="1"/>
  <c r="H1976" i="2"/>
  <c r="F1976" i="2"/>
  <c r="E1976" i="2"/>
  <c r="D1976" i="2"/>
  <c r="C1976" i="2"/>
  <c r="B1976" i="2"/>
  <c r="G1976" i="2" s="1"/>
  <c r="M1976" i="2" s="1"/>
  <c r="A1976" i="2"/>
  <c r="K1975" i="2"/>
  <c r="J1975" i="2"/>
  <c r="I1975" i="2"/>
  <c r="L1975" i="2" s="1"/>
  <c r="H1975" i="2"/>
  <c r="E1975" i="2"/>
  <c r="D1975" i="2"/>
  <c r="C1975" i="2"/>
  <c r="F1975" i="2" s="1"/>
  <c r="G1975" i="2" s="1"/>
  <c r="M1975" i="2" s="1"/>
  <c r="B1975" i="2"/>
  <c r="A1975" i="2"/>
  <c r="L1974" i="2"/>
  <c r="K1974" i="2"/>
  <c r="J1974" i="2"/>
  <c r="I1974" i="2"/>
  <c r="H1974" i="2"/>
  <c r="F1974" i="2"/>
  <c r="E1974" i="2"/>
  <c r="D1974" i="2"/>
  <c r="C1974" i="2"/>
  <c r="B1974" i="2"/>
  <c r="G1974" i="2" s="1"/>
  <c r="A1974" i="2"/>
  <c r="K1973" i="2"/>
  <c r="J1973" i="2"/>
  <c r="I1973" i="2"/>
  <c r="H1973" i="2"/>
  <c r="E1973" i="2"/>
  <c r="D1973" i="2"/>
  <c r="C1973" i="2"/>
  <c r="F1973" i="2" s="1"/>
  <c r="B1973" i="2"/>
  <c r="A1973" i="2"/>
  <c r="L1972" i="2"/>
  <c r="K1972" i="2"/>
  <c r="J1972" i="2"/>
  <c r="I1972" i="2"/>
  <c r="H1972" i="2"/>
  <c r="F1972" i="2"/>
  <c r="E1972" i="2"/>
  <c r="D1972" i="2"/>
  <c r="C1972" i="2"/>
  <c r="B1972" i="2"/>
  <c r="G1972" i="2" s="1"/>
  <c r="A1972" i="2"/>
  <c r="K1971" i="2"/>
  <c r="J1971" i="2"/>
  <c r="I1971" i="2"/>
  <c r="H1971" i="2"/>
  <c r="L1971" i="2" s="1"/>
  <c r="E1971" i="2"/>
  <c r="D1971" i="2"/>
  <c r="C1971" i="2"/>
  <c r="F1971" i="2" s="1"/>
  <c r="G1971" i="2" s="1"/>
  <c r="M1971" i="2" s="1"/>
  <c r="B1971" i="2"/>
  <c r="A1971" i="2"/>
  <c r="K1970" i="2"/>
  <c r="J1970" i="2"/>
  <c r="I1970" i="2"/>
  <c r="H1970" i="2"/>
  <c r="L1970" i="2" s="1"/>
  <c r="E1970" i="2"/>
  <c r="D1970" i="2"/>
  <c r="C1970" i="2"/>
  <c r="B1970" i="2"/>
  <c r="A1970" i="2"/>
  <c r="K1969" i="2"/>
  <c r="J1969" i="2"/>
  <c r="I1969" i="2"/>
  <c r="H1969" i="2"/>
  <c r="G1969" i="2"/>
  <c r="E1969" i="2"/>
  <c r="D1969" i="2"/>
  <c r="C1969" i="2"/>
  <c r="F1969" i="2" s="1"/>
  <c r="B1969" i="2"/>
  <c r="A1969" i="2"/>
  <c r="K1968" i="2"/>
  <c r="J1968" i="2"/>
  <c r="I1968" i="2"/>
  <c r="H1968" i="2"/>
  <c r="E1968" i="2"/>
  <c r="D1968" i="2"/>
  <c r="C1968" i="2"/>
  <c r="F1968" i="2" s="1"/>
  <c r="G1968" i="2" s="1"/>
  <c r="B1968" i="2"/>
  <c r="A1968" i="2"/>
  <c r="K1967" i="2"/>
  <c r="J1967" i="2"/>
  <c r="I1967" i="2"/>
  <c r="L1967" i="2" s="1"/>
  <c r="H1967" i="2"/>
  <c r="G1967" i="2"/>
  <c r="M1967" i="2" s="1"/>
  <c r="E1967" i="2"/>
  <c r="D1967" i="2"/>
  <c r="C1967" i="2"/>
  <c r="F1967" i="2" s="1"/>
  <c r="B1967" i="2"/>
  <c r="A1967" i="2"/>
  <c r="K1966" i="2"/>
  <c r="J1966" i="2"/>
  <c r="I1966" i="2"/>
  <c r="H1966" i="2"/>
  <c r="F1966" i="2"/>
  <c r="E1966" i="2"/>
  <c r="D1966" i="2"/>
  <c r="C1966" i="2"/>
  <c r="B1966" i="2"/>
  <c r="G1966" i="2" s="1"/>
  <c r="A1966" i="2"/>
  <c r="K1965" i="2"/>
  <c r="J1965" i="2"/>
  <c r="I1965" i="2"/>
  <c r="L1965" i="2" s="1"/>
  <c r="H1965" i="2"/>
  <c r="E1965" i="2"/>
  <c r="D1965" i="2"/>
  <c r="C1965" i="2"/>
  <c r="F1965" i="2" s="1"/>
  <c r="G1965" i="2" s="1"/>
  <c r="M1965" i="2" s="1"/>
  <c r="B1965" i="2"/>
  <c r="A1965" i="2"/>
  <c r="L1964" i="2"/>
  <c r="K1964" i="2"/>
  <c r="J1964" i="2"/>
  <c r="I1964" i="2"/>
  <c r="H1964" i="2"/>
  <c r="F1964" i="2"/>
  <c r="E1964" i="2"/>
  <c r="D1964" i="2"/>
  <c r="C1964" i="2"/>
  <c r="B1964" i="2"/>
  <c r="G1964" i="2" s="1"/>
  <c r="A1964" i="2"/>
  <c r="K1963" i="2"/>
  <c r="J1963" i="2"/>
  <c r="I1963" i="2"/>
  <c r="H1963" i="2"/>
  <c r="L1963" i="2" s="1"/>
  <c r="E1963" i="2"/>
  <c r="D1963" i="2"/>
  <c r="C1963" i="2"/>
  <c r="B1963" i="2"/>
  <c r="A1963" i="2"/>
  <c r="K1962" i="2"/>
  <c r="J1962" i="2"/>
  <c r="I1962" i="2"/>
  <c r="H1962" i="2"/>
  <c r="L1962" i="2" s="1"/>
  <c r="F1962" i="2"/>
  <c r="E1962" i="2"/>
  <c r="D1962" i="2"/>
  <c r="C1962" i="2"/>
  <c r="B1962" i="2"/>
  <c r="G1962" i="2" s="1"/>
  <c r="A1962" i="2"/>
  <c r="K1961" i="2"/>
  <c r="J1961" i="2"/>
  <c r="I1961" i="2"/>
  <c r="H1961" i="2"/>
  <c r="L1961" i="2" s="1"/>
  <c r="E1961" i="2"/>
  <c r="D1961" i="2"/>
  <c r="C1961" i="2"/>
  <c r="B1961" i="2"/>
  <c r="A1961" i="2"/>
  <c r="K1960" i="2"/>
  <c r="J1960" i="2"/>
  <c r="I1960" i="2"/>
  <c r="H1960" i="2"/>
  <c r="L1960" i="2" s="1"/>
  <c r="E1960" i="2"/>
  <c r="D1960" i="2"/>
  <c r="C1960" i="2"/>
  <c r="B1960" i="2"/>
  <c r="A1960" i="2"/>
  <c r="K1959" i="2"/>
  <c r="J1959" i="2"/>
  <c r="I1959" i="2"/>
  <c r="L1959" i="2" s="1"/>
  <c r="H1959" i="2"/>
  <c r="E1959" i="2"/>
  <c r="D1959" i="2"/>
  <c r="C1959" i="2"/>
  <c r="B1959" i="2"/>
  <c r="A1959" i="2"/>
  <c r="K1958" i="2"/>
  <c r="J1958" i="2"/>
  <c r="I1958" i="2"/>
  <c r="H1958" i="2"/>
  <c r="L1958" i="2" s="1"/>
  <c r="E1958" i="2"/>
  <c r="D1958" i="2"/>
  <c r="C1958" i="2"/>
  <c r="F1958" i="2" s="1"/>
  <c r="G1958" i="2" s="1"/>
  <c r="M1958" i="2" s="1"/>
  <c r="B1958" i="2"/>
  <c r="A1958" i="2"/>
  <c r="M1957" i="2"/>
  <c r="K1957" i="2"/>
  <c r="J1957" i="2"/>
  <c r="I1957" i="2"/>
  <c r="L1957" i="2" s="1"/>
  <c r="H1957" i="2"/>
  <c r="G1957" i="2"/>
  <c r="E1957" i="2"/>
  <c r="D1957" i="2"/>
  <c r="C1957" i="2"/>
  <c r="F1957" i="2" s="1"/>
  <c r="B1957" i="2"/>
  <c r="A1957" i="2"/>
  <c r="K1956" i="2"/>
  <c r="J1956" i="2"/>
  <c r="I1956" i="2"/>
  <c r="L1956" i="2" s="1"/>
  <c r="H1956" i="2"/>
  <c r="E1956" i="2"/>
  <c r="D1956" i="2"/>
  <c r="F1956" i="2" s="1"/>
  <c r="C1956" i="2"/>
  <c r="B1956" i="2"/>
  <c r="G1956" i="2" s="1"/>
  <c r="M1956" i="2" s="1"/>
  <c r="A1956" i="2"/>
  <c r="K1955" i="2"/>
  <c r="J1955" i="2"/>
  <c r="I1955" i="2"/>
  <c r="L1955" i="2" s="1"/>
  <c r="H1955" i="2"/>
  <c r="E1955" i="2"/>
  <c r="D1955" i="2"/>
  <c r="C1955" i="2"/>
  <c r="F1955" i="2" s="1"/>
  <c r="G1955" i="2" s="1"/>
  <c r="M1955" i="2" s="1"/>
  <c r="B1955" i="2"/>
  <c r="A1955" i="2"/>
  <c r="K1954" i="2"/>
  <c r="J1954" i="2"/>
  <c r="L1954" i="2" s="1"/>
  <c r="I1954" i="2"/>
  <c r="H1954" i="2"/>
  <c r="F1954" i="2"/>
  <c r="E1954" i="2"/>
  <c r="D1954" i="2"/>
  <c r="C1954" i="2"/>
  <c r="B1954" i="2"/>
  <c r="A1954" i="2"/>
  <c r="K1953" i="2"/>
  <c r="J1953" i="2"/>
  <c r="I1953" i="2"/>
  <c r="H1953" i="2"/>
  <c r="L1953" i="2" s="1"/>
  <c r="E1953" i="2"/>
  <c r="D1953" i="2"/>
  <c r="C1953" i="2"/>
  <c r="F1953" i="2" s="1"/>
  <c r="B1953" i="2"/>
  <c r="A1953" i="2"/>
  <c r="K1952" i="2"/>
  <c r="J1952" i="2"/>
  <c r="I1952" i="2"/>
  <c r="H1952" i="2"/>
  <c r="L1952" i="2" s="1"/>
  <c r="F1952" i="2"/>
  <c r="E1952" i="2"/>
  <c r="D1952" i="2"/>
  <c r="C1952" i="2"/>
  <c r="B1952" i="2"/>
  <c r="A1952" i="2"/>
  <c r="K1951" i="2"/>
  <c r="J1951" i="2"/>
  <c r="I1951" i="2"/>
  <c r="H1951" i="2"/>
  <c r="L1951" i="2" s="1"/>
  <c r="E1951" i="2"/>
  <c r="D1951" i="2"/>
  <c r="F1951" i="2" s="1"/>
  <c r="G1951" i="2" s="1"/>
  <c r="M1951" i="2" s="1"/>
  <c r="C1951" i="2"/>
  <c r="B1951" i="2"/>
  <c r="A1951" i="2"/>
  <c r="K1950" i="2"/>
  <c r="J1950" i="2"/>
  <c r="I1950" i="2"/>
  <c r="H1950" i="2"/>
  <c r="L1950" i="2" s="1"/>
  <c r="E1950" i="2"/>
  <c r="D1950" i="2"/>
  <c r="C1950" i="2"/>
  <c r="B1950" i="2"/>
  <c r="A1950" i="2"/>
  <c r="K1949" i="2"/>
  <c r="J1949" i="2"/>
  <c r="I1949" i="2"/>
  <c r="H1949" i="2"/>
  <c r="G1949" i="2"/>
  <c r="E1949" i="2"/>
  <c r="F1949" i="2" s="1"/>
  <c r="D1949" i="2"/>
  <c r="C1949" i="2"/>
  <c r="B1949" i="2"/>
  <c r="A1949" i="2"/>
  <c r="K1948" i="2"/>
  <c r="J1948" i="2"/>
  <c r="I1948" i="2"/>
  <c r="H1948" i="2"/>
  <c r="L1948" i="2" s="1"/>
  <c r="E1948" i="2"/>
  <c r="D1948" i="2"/>
  <c r="C1948" i="2"/>
  <c r="F1948" i="2" s="1"/>
  <c r="G1948" i="2" s="1"/>
  <c r="M1948" i="2" s="1"/>
  <c r="B1948" i="2"/>
  <c r="A1948" i="2"/>
  <c r="K1947" i="2"/>
  <c r="L1947" i="2" s="1"/>
  <c r="J1947" i="2"/>
  <c r="I1947" i="2"/>
  <c r="H1947" i="2"/>
  <c r="G1947" i="2"/>
  <c r="M1947" i="2" s="1"/>
  <c r="E1947" i="2"/>
  <c r="D1947" i="2"/>
  <c r="C1947" i="2"/>
  <c r="F1947" i="2" s="1"/>
  <c r="B1947" i="2"/>
  <c r="A1947" i="2"/>
  <c r="K1946" i="2"/>
  <c r="J1946" i="2"/>
  <c r="I1946" i="2"/>
  <c r="H1946" i="2"/>
  <c r="F1946" i="2"/>
  <c r="E1946" i="2"/>
  <c r="D1946" i="2"/>
  <c r="C1946" i="2"/>
  <c r="B1946" i="2"/>
  <c r="A1946" i="2"/>
  <c r="K1945" i="2"/>
  <c r="J1945" i="2"/>
  <c r="I1945" i="2"/>
  <c r="L1945" i="2" s="1"/>
  <c r="M1945" i="2" s="1"/>
  <c r="H1945" i="2"/>
  <c r="G1945" i="2"/>
  <c r="E1945" i="2"/>
  <c r="D1945" i="2"/>
  <c r="C1945" i="2"/>
  <c r="F1945" i="2" s="1"/>
  <c r="B1945" i="2"/>
  <c r="A1945" i="2"/>
  <c r="K1944" i="2"/>
  <c r="J1944" i="2"/>
  <c r="L1944" i="2" s="1"/>
  <c r="I1944" i="2"/>
  <c r="H1944" i="2"/>
  <c r="F1944" i="2"/>
  <c r="E1944" i="2"/>
  <c r="D1944" i="2"/>
  <c r="C1944" i="2"/>
  <c r="B1944" i="2"/>
  <c r="A1944" i="2"/>
  <c r="K1943" i="2"/>
  <c r="J1943" i="2"/>
  <c r="I1943" i="2"/>
  <c r="H1943" i="2"/>
  <c r="L1943" i="2" s="1"/>
  <c r="E1943" i="2"/>
  <c r="D1943" i="2"/>
  <c r="C1943" i="2"/>
  <c r="B1943" i="2"/>
  <c r="A1943" i="2"/>
  <c r="K1942" i="2"/>
  <c r="J1942" i="2"/>
  <c r="I1942" i="2"/>
  <c r="H1942" i="2"/>
  <c r="L1942" i="2" s="1"/>
  <c r="F1942" i="2"/>
  <c r="E1942" i="2"/>
  <c r="D1942" i="2"/>
  <c r="C1942" i="2"/>
  <c r="B1942" i="2"/>
  <c r="A1942" i="2"/>
  <c r="K1941" i="2"/>
  <c r="J1941" i="2"/>
  <c r="I1941" i="2"/>
  <c r="H1941" i="2"/>
  <c r="L1941" i="2" s="1"/>
  <c r="E1941" i="2"/>
  <c r="D1941" i="2"/>
  <c r="C1941" i="2"/>
  <c r="B1941" i="2"/>
  <c r="A1941" i="2"/>
  <c r="K1940" i="2"/>
  <c r="J1940" i="2"/>
  <c r="I1940" i="2"/>
  <c r="H1940" i="2"/>
  <c r="L1940" i="2" s="1"/>
  <c r="E1940" i="2"/>
  <c r="D1940" i="2"/>
  <c r="C1940" i="2"/>
  <c r="F1940" i="2" s="1"/>
  <c r="B1940" i="2"/>
  <c r="G1940" i="2" s="1"/>
  <c r="A1940" i="2"/>
  <c r="K1939" i="2"/>
  <c r="J1939" i="2"/>
  <c r="L1939" i="2" s="1"/>
  <c r="I1939" i="2"/>
  <c r="H1939" i="2"/>
  <c r="E1939" i="2"/>
  <c r="F1939" i="2" s="1"/>
  <c r="G1939" i="2" s="1"/>
  <c r="M1939" i="2" s="1"/>
  <c r="D1939" i="2"/>
  <c r="C1939" i="2"/>
  <c r="B1939" i="2"/>
  <c r="A1939" i="2"/>
  <c r="K1938" i="2"/>
  <c r="J1938" i="2"/>
  <c r="I1938" i="2"/>
  <c r="H1938" i="2"/>
  <c r="E1938" i="2"/>
  <c r="D1938" i="2"/>
  <c r="C1938" i="2"/>
  <c r="B1938" i="2"/>
  <c r="A1938" i="2"/>
  <c r="K1937" i="2"/>
  <c r="L1937" i="2" s="1"/>
  <c r="J1937" i="2"/>
  <c r="I1937" i="2"/>
  <c r="H1937" i="2"/>
  <c r="G1937" i="2"/>
  <c r="M1937" i="2" s="1"/>
  <c r="E1937" i="2"/>
  <c r="D1937" i="2"/>
  <c r="C1937" i="2"/>
  <c r="F1937" i="2" s="1"/>
  <c r="B1937" i="2"/>
  <c r="A1937" i="2"/>
  <c r="K1936" i="2"/>
  <c r="J1936" i="2"/>
  <c r="I1936" i="2"/>
  <c r="L1936" i="2" s="1"/>
  <c r="H1936" i="2"/>
  <c r="F1936" i="2"/>
  <c r="E1936" i="2"/>
  <c r="D1936" i="2"/>
  <c r="C1936" i="2"/>
  <c r="B1936" i="2"/>
  <c r="A1936" i="2"/>
  <c r="K1935" i="2"/>
  <c r="J1935" i="2"/>
  <c r="I1935" i="2"/>
  <c r="L1935" i="2" s="1"/>
  <c r="H1935" i="2"/>
  <c r="G1935" i="2"/>
  <c r="M1935" i="2" s="1"/>
  <c r="E1935" i="2"/>
  <c r="D1935" i="2"/>
  <c r="C1935" i="2"/>
  <c r="F1935" i="2" s="1"/>
  <c r="B1935" i="2"/>
  <c r="A1935" i="2"/>
  <c r="L1934" i="2"/>
  <c r="K1934" i="2"/>
  <c r="J1934" i="2"/>
  <c r="I1934" i="2"/>
  <c r="H1934" i="2"/>
  <c r="F1934" i="2"/>
  <c r="E1934" i="2"/>
  <c r="D1934" i="2"/>
  <c r="C1934" i="2"/>
  <c r="B1934" i="2"/>
  <c r="G1934" i="2" s="1"/>
  <c r="A1934" i="2"/>
  <c r="K1933" i="2"/>
  <c r="J1933" i="2"/>
  <c r="I1933" i="2"/>
  <c r="H1933" i="2"/>
  <c r="E1933" i="2"/>
  <c r="D1933" i="2"/>
  <c r="C1933" i="2"/>
  <c r="F1933" i="2" s="1"/>
  <c r="B1933" i="2"/>
  <c r="A1933" i="2"/>
  <c r="L1932" i="2"/>
  <c r="K1932" i="2"/>
  <c r="J1932" i="2"/>
  <c r="I1932" i="2"/>
  <c r="H1932" i="2"/>
  <c r="F1932" i="2"/>
  <c r="E1932" i="2"/>
  <c r="D1932" i="2"/>
  <c r="C1932" i="2"/>
  <c r="B1932" i="2"/>
  <c r="G1932" i="2" s="1"/>
  <c r="A1932" i="2"/>
  <c r="K1931" i="2"/>
  <c r="J1931" i="2"/>
  <c r="I1931" i="2"/>
  <c r="H1931" i="2"/>
  <c r="E1931" i="2"/>
  <c r="D1931" i="2"/>
  <c r="C1931" i="2"/>
  <c r="F1931" i="2" s="1"/>
  <c r="G1931" i="2" s="1"/>
  <c r="B1931" i="2"/>
  <c r="A1931" i="2"/>
  <c r="L1930" i="2"/>
  <c r="K1930" i="2"/>
  <c r="J1930" i="2"/>
  <c r="I1930" i="2"/>
  <c r="H1930" i="2"/>
  <c r="E1930" i="2"/>
  <c r="D1930" i="2"/>
  <c r="C1930" i="2"/>
  <c r="F1930" i="2" s="1"/>
  <c r="B1930" i="2"/>
  <c r="A1930" i="2"/>
  <c r="K1929" i="2"/>
  <c r="J1929" i="2"/>
  <c r="I1929" i="2"/>
  <c r="H1929" i="2"/>
  <c r="E1929" i="2"/>
  <c r="F1929" i="2" s="1"/>
  <c r="G1929" i="2" s="1"/>
  <c r="D1929" i="2"/>
  <c r="C1929" i="2"/>
  <c r="B1929" i="2"/>
  <c r="A1929" i="2"/>
  <c r="K1928" i="2"/>
  <c r="J1928" i="2"/>
  <c r="I1928" i="2"/>
  <c r="H1928" i="2"/>
  <c r="L1928" i="2" s="1"/>
  <c r="E1928" i="2"/>
  <c r="D1928" i="2"/>
  <c r="C1928" i="2"/>
  <c r="F1928" i="2" s="1"/>
  <c r="G1928" i="2" s="1"/>
  <c r="B1928" i="2"/>
  <c r="A1928" i="2"/>
  <c r="K1927" i="2"/>
  <c r="L1927" i="2" s="1"/>
  <c r="J1927" i="2"/>
  <c r="I1927" i="2"/>
  <c r="H1927" i="2"/>
  <c r="E1927" i="2"/>
  <c r="D1927" i="2"/>
  <c r="C1927" i="2"/>
  <c r="F1927" i="2" s="1"/>
  <c r="G1927" i="2" s="1"/>
  <c r="B1927" i="2"/>
  <c r="A1927" i="2"/>
  <c r="K1926" i="2"/>
  <c r="J1926" i="2"/>
  <c r="I1926" i="2"/>
  <c r="L1926" i="2" s="1"/>
  <c r="H1926" i="2"/>
  <c r="E1926" i="2"/>
  <c r="D1926" i="2"/>
  <c r="F1926" i="2" s="1"/>
  <c r="C1926" i="2"/>
  <c r="B1926" i="2"/>
  <c r="A1926" i="2"/>
  <c r="M1925" i="2"/>
  <c r="K1925" i="2"/>
  <c r="J1925" i="2"/>
  <c r="I1925" i="2"/>
  <c r="L1925" i="2" s="1"/>
  <c r="H1925" i="2"/>
  <c r="E1925" i="2"/>
  <c r="D1925" i="2"/>
  <c r="C1925" i="2"/>
  <c r="F1925" i="2" s="1"/>
  <c r="G1925" i="2" s="1"/>
  <c r="B1925" i="2"/>
  <c r="A1925" i="2"/>
  <c r="K1924" i="2"/>
  <c r="J1924" i="2"/>
  <c r="L1924" i="2" s="1"/>
  <c r="I1924" i="2"/>
  <c r="H1924" i="2"/>
  <c r="F1924" i="2"/>
  <c r="E1924" i="2"/>
  <c r="D1924" i="2"/>
  <c r="C1924" i="2"/>
  <c r="B1924" i="2"/>
  <c r="G1924" i="2" s="1"/>
  <c r="A1924" i="2"/>
  <c r="M1923" i="2"/>
  <c r="K1923" i="2"/>
  <c r="J1923" i="2"/>
  <c r="I1923" i="2"/>
  <c r="H1923" i="2"/>
  <c r="L1923" i="2" s="1"/>
  <c r="E1923" i="2"/>
  <c r="D1923" i="2"/>
  <c r="C1923" i="2"/>
  <c r="F1923" i="2" s="1"/>
  <c r="B1923" i="2"/>
  <c r="G1923" i="2" s="1"/>
  <c r="A1923" i="2"/>
  <c r="L1922" i="2"/>
  <c r="K1922" i="2"/>
  <c r="J1922" i="2"/>
  <c r="I1922" i="2"/>
  <c r="H1922" i="2"/>
  <c r="F1922" i="2"/>
  <c r="E1922" i="2"/>
  <c r="D1922" i="2"/>
  <c r="C1922" i="2"/>
  <c r="B1922" i="2"/>
  <c r="A1922" i="2"/>
  <c r="K1921" i="2"/>
  <c r="J1921" i="2"/>
  <c r="I1921" i="2"/>
  <c r="H1921" i="2"/>
  <c r="E1921" i="2"/>
  <c r="D1921" i="2"/>
  <c r="C1921" i="2"/>
  <c r="B1921" i="2"/>
  <c r="A1921" i="2"/>
  <c r="L1920" i="2"/>
  <c r="K1920" i="2"/>
  <c r="J1920" i="2"/>
  <c r="I1920" i="2"/>
  <c r="H1920" i="2"/>
  <c r="E1920" i="2"/>
  <c r="D1920" i="2"/>
  <c r="C1920" i="2"/>
  <c r="F1920" i="2" s="1"/>
  <c r="B1920" i="2"/>
  <c r="G1920" i="2" s="1"/>
  <c r="A1920" i="2"/>
  <c r="K1919" i="2"/>
  <c r="J1919" i="2"/>
  <c r="I1919" i="2"/>
  <c r="H1919" i="2"/>
  <c r="E1919" i="2"/>
  <c r="F1919" i="2" s="1"/>
  <c r="G1919" i="2" s="1"/>
  <c r="D1919" i="2"/>
  <c r="C1919" i="2"/>
  <c r="B1919" i="2"/>
  <c r="A1919" i="2"/>
  <c r="K1918" i="2"/>
  <c r="J1918" i="2"/>
  <c r="I1918" i="2"/>
  <c r="H1918" i="2"/>
  <c r="E1918" i="2"/>
  <c r="D1918" i="2"/>
  <c r="C1918" i="2"/>
  <c r="B1918" i="2"/>
  <c r="A1918" i="2"/>
  <c r="K1917" i="2"/>
  <c r="L1917" i="2" s="1"/>
  <c r="J1917" i="2"/>
  <c r="I1917" i="2"/>
  <c r="H1917" i="2"/>
  <c r="E1917" i="2"/>
  <c r="D1917" i="2"/>
  <c r="C1917" i="2"/>
  <c r="F1917" i="2" s="1"/>
  <c r="G1917" i="2" s="1"/>
  <c r="B1917" i="2"/>
  <c r="A1917" i="2"/>
  <c r="K1916" i="2"/>
  <c r="J1916" i="2"/>
  <c r="I1916" i="2"/>
  <c r="H1916" i="2"/>
  <c r="F1916" i="2"/>
  <c r="E1916" i="2"/>
  <c r="D1916" i="2"/>
  <c r="C1916" i="2"/>
  <c r="B1916" i="2"/>
  <c r="G1916" i="2" s="1"/>
  <c r="A1916" i="2"/>
  <c r="M1915" i="2"/>
  <c r="K1915" i="2"/>
  <c r="J1915" i="2"/>
  <c r="I1915" i="2"/>
  <c r="L1915" i="2" s="1"/>
  <c r="H1915" i="2"/>
  <c r="E1915" i="2"/>
  <c r="D1915" i="2"/>
  <c r="C1915" i="2"/>
  <c r="F1915" i="2" s="1"/>
  <c r="G1915" i="2" s="1"/>
  <c r="B1915" i="2"/>
  <c r="A1915" i="2"/>
  <c r="L1914" i="2"/>
  <c r="K1914" i="2"/>
  <c r="J1914" i="2"/>
  <c r="I1914" i="2"/>
  <c r="H1914" i="2"/>
  <c r="F1914" i="2"/>
  <c r="E1914" i="2"/>
  <c r="D1914" i="2"/>
  <c r="C1914" i="2"/>
  <c r="B1914" i="2"/>
  <c r="G1914" i="2" s="1"/>
  <c r="A1914" i="2"/>
  <c r="K1913" i="2"/>
  <c r="J1913" i="2"/>
  <c r="I1913" i="2"/>
  <c r="H1913" i="2"/>
  <c r="E1913" i="2"/>
  <c r="D1913" i="2"/>
  <c r="C1913" i="2"/>
  <c r="B1913" i="2"/>
  <c r="A1913" i="2"/>
  <c r="K1912" i="2"/>
  <c r="J1912" i="2"/>
  <c r="I1912" i="2"/>
  <c r="H1912" i="2"/>
  <c r="L1912" i="2" s="1"/>
  <c r="F1912" i="2"/>
  <c r="E1912" i="2"/>
  <c r="D1912" i="2"/>
  <c r="C1912" i="2"/>
  <c r="B1912" i="2"/>
  <c r="G1912" i="2" s="1"/>
  <c r="A1912" i="2"/>
  <c r="K1911" i="2"/>
  <c r="J1911" i="2"/>
  <c r="I1911" i="2"/>
  <c r="H1911" i="2"/>
  <c r="E1911" i="2"/>
  <c r="D1911" i="2"/>
  <c r="C1911" i="2"/>
  <c r="B1911" i="2"/>
  <c r="A1911" i="2"/>
  <c r="K1910" i="2"/>
  <c r="J1910" i="2"/>
  <c r="I1910" i="2"/>
  <c r="H1910" i="2"/>
  <c r="L1910" i="2" s="1"/>
  <c r="E1910" i="2"/>
  <c r="D1910" i="2"/>
  <c r="C1910" i="2"/>
  <c r="B1910" i="2"/>
  <c r="A1910" i="2"/>
  <c r="K1909" i="2"/>
  <c r="J1909" i="2"/>
  <c r="I1909" i="2"/>
  <c r="L1909" i="2" s="1"/>
  <c r="H1909" i="2"/>
  <c r="E1909" i="2"/>
  <c r="F1909" i="2" s="1"/>
  <c r="G1909" i="2" s="1"/>
  <c r="M1909" i="2" s="1"/>
  <c r="D1909" i="2"/>
  <c r="C1909" i="2"/>
  <c r="B1909" i="2"/>
  <c r="A1909" i="2"/>
  <c r="K1908" i="2"/>
  <c r="J1908" i="2"/>
  <c r="I1908" i="2"/>
  <c r="H1908" i="2"/>
  <c r="L1908" i="2" s="1"/>
  <c r="E1908" i="2"/>
  <c r="D1908" i="2"/>
  <c r="C1908" i="2"/>
  <c r="F1908" i="2" s="1"/>
  <c r="G1908" i="2" s="1"/>
  <c r="M1908" i="2" s="1"/>
  <c r="B1908" i="2"/>
  <c r="A1908" i="2"/>
  <c r="M1907" i="2"/>
  <c r="K1907" i="2"/>
  <c r="L1907" i="2" s="1"/>
  <c r="J1907" i="2"/>
  <c r="I1907" i="2"/>
  <c r="H1907" i="2"/>
  <c r="G1907" i="2"/>
  <c r="E1907" i="2"/>
  <c r="D1907" i="2"/>
  <c r="C1907" i="2"/>
  <c r="F1907" i="2" s="1"/>
  <c r="B1907" i="2"/>
  <c r="A1907" i="2"/>
  <c r="K1906" i="2"/>
  <c r="J1906" i="2"/>
  <c r="I1906" i="2"/>
  <c r="L1906" i="2" s="1"/>
  <c r="H1906" i="2"/>
  <c r="E1906" i="2"/>
  <c r="D1906" i="2"/>
  <c r="F1906" i="2" s="1"/>
  <c r="C1906" i="2"/>
  <c r="B1906" i="2"/>
  <c r="G1906" i="2" s="1"/>
  <c r="M1906" i="2" s="1"/>
  <c r="A1906" i="2"/>
  <c r="K1905" i="2"/>
  <c r="J1905" i="2"/>
  <c r="I1905" i="2"/>
  <c r="L1905" i="2" s="1"/>
  <c r="H1905" i="2"/>
  <c r="E1905" i="2"/>
  <c r="D1905" i="2"/>
  <c r="C1905" i="2"/>
  <c r="F1905" i="2" s="1"/>
  <c r="G1905" i="2" s="1"/>
  <c r="M1905" i="2" s="1"/>
  <c r="B1905" i="2"/>
  <c r="A1905" i="2"/>
  <c r="K1904" i="2"/>
  <c r="J1904" i="2"/>
  <c r="L1904" i="2" s="1"/>
  <c r="I1904" i="2"/>
  <c r="H1904" i="2"/>
  <c r="F1904" i="2"/>
  <c r="E1904" i="2"/>
  <c r="D1904" i="2"/>
  <c r="C1904" i="2"/>
  <c r="B1904" i="2"/>
  <c r="A1904" i="2"/>
  <c r="K1903" i="2"/>
  <c r="J1903" i="2"/>
  <c r="I1903" i="2"/>
  <c r="H1903" i="2"/>
  <c r="L1903" i="2" s="1"/>
  <c r="E1903" i="2"/>
  <c r="D1903" i="2"/>
  <c r="C1903" i="2"/>
  <c r="F1903" i="2" s="1"/>
  <c r="B1903" i="2"/>
  <c r="A1903" i="2"/>
  <c r="K1902" i="2"/>
  <c r="J1902" i="2"/>
  <c r="I1902" i="2"/>
  <c r="H1902" i="2"/>
  <c r="L1902" i="2" s="1"/>
  <c r="F1902" i="2"/>
  <c r="E1902" i="2"/>
  <c r="D1902" i="2"/>
  <c r="C1902" i="2"/>
  <c r="B1902" i="2"/>
  <c r="G1902" i="2" s="1"/>
  <c r="A1902" i="2"/>
  <c r="K1901" i="2"/>
  <c r="J1901" i="2"/>
  <c r="I1901" i="2"/>
  <c r="H1901" i="2"/>
  <c r="L1901" i="2" s="1"/>
  <c r="E1901" i="2"/>
  <c r="D1901" i="2"/>
  <c r="F1901" i="2" s="1"/>
  <c r="G1901" i="2" s="1"/>
  <c r="C1901" i="2"/>
  <c r="B1901" i="2"/>
  <c r="A1901" i="2"/>
  <c r="K1900" i="2"/>
  <c r="J1900" i="2"/>
  <c r="I1900" i="2"/>
  <c r="H1900" i="2"/>
  <c r="L1900" i="2" s="1"/>
  <c r="E1900" i="2"/>
  <c r="D1900" i="2"/>
  <c r="C1900" i="2"/>
  <c r="F1900" i="2" s="1"/>
  <c r="B1900" i="2"/>
  <c r="A1900" i="2"/>
  <c r="K1899" i="2"/>
  <c r="J1899" i="2"/>
  <c r="L1899" i="2" s="1"/>
  <c r="I1899" i="2"/>
  <c r="H1899" i="2"/>
  <c r="G1899" i="2"/>
  <c r="M1899" i="2" s="1"/>
  <c r="E1899" i="2"/>
  <c r="F1899" i="2" s="1"/>
  <c r="D1899" i="2"/>
  <c r="C1899" i="2"/>
  <c r="B1899" i="2"/>
  <c r="A1899" i="2"/>
  <c r="K1898" i="2"/>
  <c r="J1898" i="2"/>
  <c r="I1898" i="2"/>
  <c r="H1898" i="2"/>
  <c r="L1898" i="2" s="1"/>
  <c r="E1898" i="2"/>
  <c r="D1898" i="2"/>
  <c r="C1898" i="2"/>
  <c r="F1898" i="2" s="1"/>
  <c r="G1898" i="2" s="1"/>
  <c r="M1898" i="2" s="1"/>
  <c r="B1898" i="2"/>
  <c r="A1898" i="2"/>
  <c r="K1897" i="2"/>
  <c r="L1897" i="2" s="1"/>
  <c r="J1897" i="2"/>
  <c r="I1897" i="2"/>
  <c r="H1897" i="2"/>
  <c r="G1897" i="2"/>
  <c r="M1897" i="2" s="1"/>
  <c r="E1897" i="2"/>
  <c r="D1897" i="2"/>
  <c r="C1897" i="2"/>
  <c r="F1897" i="2" s="1"/>
  <c r="B1897" i="2"/>
  <c r="A1897" i="2"/>
  <c r="K1896" i="2"/>
  <c r="J1896" i="2"/>
  <c r="I1896" i="2"/>
  <c r="H1896" i="2"/>
  <c r="F1896" i="2"/>
  <c r="E1896" i="2"/>
  <c r="D1896" i="2"/>
  <c r="C1896" i="2"/>
  <c r="B1896" i="2"/>
  <c r="A1896" i="2"/>
  <c r="K1895" i="2"/>
  <c r="J1895" i="2"/>
  <c r="I1895" i="2"/>
  <c r="L1895" i="2" s="1"/>
  <c r="M1895" i="2" s="1"/>
  <c r="H1895" i="2"/>
  <c r="G1895" i="2"/>
  <c r="E1895" i="2"/>
  <c r="D1895" i="2"/>
  <c r="C1895" i="2"/>
  <c r="F1895" i="2" s="1"/>
  <c r="B1895" i="2"/>
  <c r="A1895" i="2"/>
  <c r="K1894" i="2"/>
  <c r="J1894" i="2"/>
  <c r="L1894" i="2" s="1"/>
  <c r="I1894" i="2"/>
  <c r="H1894" i="2"/>
  <c r="F1894" i="2"/>
  <c r="E1894" i="2"/>
  <c r="D1894" i="2"/>
  <c r="C1894" i="2"/>
  <c r="B1894" i="2"/>
  <c r="A1894" i="2"/>
  <c r="K1893" i="2"/>
  <c r="J1893" i="2"/>
  <c r="I1893" i="2"/>
  <c r="H1893" i="2"/>
  <c r="L1893" i="2" s="1"/>
  <c r="E1893" i="2"/>
  <c r="D1893" i="2"/>
  <c r="C1893" i="2"/>
  <c r="B1893" i="2"/>
  <c r="A1893" i="2"/>
  <c r="K1892" i="2"/>
  <c r="J1892" i="2"/>
  <c r="I1892" i="2"/>
  <c r="H1892" i="2"/>
  <c r="L1892" i="2" s="1"/>
  <c r="F1892" i="2"/>
  <c r="E1892" i="2"/>
  <c r="D1892" i="2"/>
  <c r="C1892" i="2"/>
  <c r="B1892" i="2"/>
  <c r="A1892" i="2"/>
  <c r="K1891" i="2"/>
  <c r="J1891" i="2"/>
  <c r="I1891" i="2"/>
  <c r="H1891" i="2"/>
  <c r="L1891" i="2" s="1"/>
  <c r="E1891" i="2"/>
  <c r="D1891" i="2"/>
  <c r="C1891" i="2"/>
  <c r="B1891" i="2"/>
  <c r="A1891" i="2"/>
  <c r="K1890" i="2"/>
  <c r="J1890" i="2"/>
  <c r="I1890" i="2"/>
  <c r="H1890" i="2"/>
  <c r="L1890" i="2" s="1"/>
  <c r="E1890" i="2"/>
  <c r="D1890" i="2"/>
  <c r="C1890" i="2"/>
  <c r="F1890" i="2" s="1"/>
  <c r="B1890" i="2"/>
  <c r="G1890" i="2" s="1"/>
  <c r="A1890" i="2"/>
  <c r="K1889" i="2"/>
  <c r="J1889" i="2"/>
  <c r="L1889" i="2" s="1"/>
  <c r="I1889" i="2"/>
  <c r="H1889" i="2"/>
  <c r="E1889" i="2"/>
  <c r="F1889" i="2" s="1"/>
  <c r="G1889" i="2" s="1"/>
  <c r="M1889" i="2" s="1"/>
  <c r="D1889" i="2"/>
  <c r="C1889" i="2"/>
  <c r="B1889" i="2"/>
  <c r="A1889" i="2"/>
  <c r="K1888" i="2"/>
  <c r="J1888" i="2"/>
  <c r="I1888" i="2"/>
  <c r="H1888" i="2"/>
  <c r="E1888" i="2"/>
  <c r="D1888" i="2"/>
  <c r="C1888" i="2"/>
  <c r="B1888" i="2"/>
  <c r="A1888" i="2"/>
  <c r="K1887" i="2"/>
  <c r="L1887" i="2" s="1"/>
  <c r="J1887" i="2"/>
  <c r="I1887" i="2"/>
  <c r="H1887" i="2"/>
  <c r="G1887" i="2"/>
  <c r="M1887" i="2" s="1"/>
  <c r="E1887" i="2"/>
  <c r="D1887" i="2"/>
  <c r="C1887" i="2"/>
  <c r="F1887" i="2" s="1"/>
  <c r="B1887" i="2"/>
  <c r="A1887" i="2"/>
  <c r="K1886" i="2"/>
  <c r="J1886" i="2"/>
  <c r="I1886" i="2"/>
  <c r="L1886" i="2" s="1"/>
  <c r="H1886" i="2"/>
  <c r="F1886" i="2"/>
  <c r="E1886" i="2"/>
  <c r="D1886" i="2"/>
  <c r="C1886" i="2"/>
  <c r="B1886" i="2"/>
  <c r="A1886" i="2"/>
  <c r="K1885" i="2"/>
  <c r="J1885" i="2"/>
  <c r="I1885" i="2"/>
  <c r="H1885" i="2"/>
  <c r="L1885" i="2" s="1"/>
  <c r="G1885" i="2"/>
  <c r="M1885" i="2" s="1"/>
  <c r="E1885" i="2"/>
  <c r="D1885" i="2"/>
  <c r="C1885" i="2"/>
  <c r="F1885" i="2" s="1"/>
  <c r="B1885" i="2"/>
  <c r="A1885" i="2"/>
  <c r="L1884" i="2"/>
  <c r="K1884" i="2"/>
  <c r="J1884" i="2"/>
  <c r="I1884" i="2"/>
  <c r="H1884" i="2"/>
  <c r="F1884" i="2"/>
  <c r="E1884" i="2"/>
  <c r="D1884" i="2"/>
  <c r="C1884" i="2"/>
  <c r="B1884" i="2"/>
  <c r="G1884" i="2" s="1"/>
  <c r="A1884" i="2"/>
  <c r="K1883" i="2"/>
  <c r="J1883" i="2"/>
  <c r="I1883" i="2"/>
  <c r="H1883" i="2"/>
  <c r="E1883" i="2"/>
  <c r="D1883" i="2"/>
  <c r="C1883" i="2"/>
  <c r="F1883" i="2" s="1"/>
  <c r="B1883" i="2"/>
  <c r="A1883" i="2"/>
  <c r="L1882" i="2"/>
  <c r="K1882" i="2"/>
  <c r="J1882" i="2"/>
  <c r="I1882" i="2"/>
  <c r="H1882" i="2"/>
  <c r="F1882" i="2"/>
  <c r="E1882" i="2"/>
  <c r="D1882" i="2"/>
  <c r="C1882" i="2"/>
  <c r="B1882" i="2"/>
  <c r="G1882" i="2" s="1"/>
  <c r="M1882" i="2" s="1"/>
  <c r="A1882" i="2"/>
  <c r="K1881" i="2"/>
  <c r="J1881" i="2"/>
  <c r="I1881" i="2"/>
  <c r="H1881" i="2"/>
  <c r="E1881" i="2"/>
  <c r="D1881" i="2"/>
  <c r="F1881" i="2" s="1"/>
  <c r="G1881" i="2" s="1"/>
  <c r="C1881" i="2"/>
  <c r="B1881" i="2"/>
  <c r="A1881" i="2"/>
  <c r="L1880" i="2"/>
  <c r="K1880" i="2"/>
  <c r="J1880" i="2"/>
  <c r="I1880" i="2"/>
  <c r="H1880" i="2"/>
  <c r="E1880" i="2"/>
  <c r="D1880" i="2"/>
  <c r="C1880" i="2"/>
  <c r="F1880" i="2" s="1"/>
  <c r="G1880" i="2" s="1"/>
  <c r="M1880" i="2" s="1"/>
  <c r="B1880" i="2"/>
  <c r="A1880" i="2"/>
  <c r="K1879" i="2"/>
  <c r="J1879" i="2"/>
  <c r="I1879" i="2"/>
  <c r="H1879" i="2"/>
  <c r="E1879" i="2"/>
  <c r="F1879" i="2" s="1"/>
  <c r="G1879" i="2" s="1"/>
  <c r="D1879" i="2"/>
  <c r="C1879" i="2"/>
  <c r="B1879" i="2"/>
  <c r="A1879" i="2"/>
  <c r="K1878" i="2"/>
  <c r="J1878" i="2"/>
  <c r="I1878" i="2"/>
  <c r="H1878" i="2"/>
  <c r="E1878" i="2"/>
  <c r="D1878" i="2"/>
  <c r="C1878" i="2"/>
  <c r="B1878" i="2"/>
  <c r="A1878" i="2"/>
  <c r="K1877" i="2"/>
  <c r="L1877" i="2" s="1"/>
  <c r="J1877" i="2"/>
  <c r="I1877" i="2"/>
  <c r="H1877" i="2"/>
  <c r="G1877" i="2"/>
  <c r="F1877" i="2"/>
  <c r="E1877" i="2"/>
  <c r="D1877" i="2"/>
  <c r="C1877" i="2"/>
  <c r="B1877" i="2"/>
  <c r="A1877" i="2"/>
  <c r="K1876" i="2"/>
  <c r="J1876" i="2"/>
  <c r="I1876" i="2"/>
  <c r="L1876" i="2" s="1"/>
  <c r="H1876" i="2"/>
  <c r="E1876" i="2"/>
  <c r="D1876" i="2"/>
  <c r="F1876" i="2" s="1"/>
  <c r="C1876" i="2"/>
  <c r="B1876" i="2"/>
  <c r="A1876" i="2"/>
  <c r="K1875" i="2"/>
  <c r="J1875" i="2"/>
  <c r="I1875" i="2"/>
  <c r="H1875" i="2"/>
  <c r="L1875" i="2" s="1"/>
  <c r="G1875" i="2"/>
  <c r="M1875" i="2" s="1"/>
  <c r="E1875" i="2"/>
  <c r="D1875" i="2"/>
  <c r="C1875" i="2"/>
  <c r="F1875" i="2" s="1"/>
  <c r="B1875" i="2"/>
  <c r="A1875" i="2"/>
  <c r="K1874" i="2"/>
  <c r="L1874" i="2" s="1"/>
  <c r="J1874" i="2"/>
  <c r="I1874" i="2"/>
  <c r="H1874" i="2"/>
  <c r="E1874" i="2"/>
  <c r="F1874" i="2" s="1"/>
  <c r="D1874" i="2"/>
  <c r="C1874" i="2"/>
  <c r="B1874" i="2"/>
  <c r="G1874" i="2" s="1"/>
  <c r="M1874" i="2" s="1"/>
  <c r="A1874" i="2"/>
  <c r="K1873" i="2"/>
  <c r="J1873" i="2"/>
  <c r="I1873" i="2"/>
  <c r="H1873" i="2"/>
  <c r="E1873" i="2"/>
  <c r="D1873" i="2"/>
  <c r="C1873" i="2"/>
  <c r="B1873" i="2"/>
  <c r="A1873" i="2"/>
  <c r="L1872" i="2"/>
  <c r="K1872" i="2"/>
  <c r="J1872" i="2"/>
  <c r="I1872" i="2"/>
  <c r="H1872" i="2"/>
  <c r="E1872" i="2"/>
  <c r="F1872" i="2" s="1"/>
  <c r="D1872" i="2"/>
  <c r="C1872" i="2"/>
  <c r="B1872" i="2"/>
  <c r="G1872" i="2" s="1"/>
  <c r="A1872" i="2"/>
  <c r="K1871" i="2"/>
  <c r="J1871" i="2"/>
  <c r="I1871" i="2"/>
  <c r="H1871" i="2"/>
  <c r="L1871" i="2" s="1"/>
  <c r="E1871" i="2"/>
  <c r="D1871" i="2"/>
  <c r="F1871" i="2" s="1"/>
  <c r="G1871" i="2" s="1"/>
  <c r="M1871" i="2" s="1"/>
  <c r="C1871" i="2"/>
  <c r="B1871" i="2"/>
  <c r="A1871" i="2"/>
  <c r="K1870" i="2"/>
  <c r="J1870" i="2"/>
  <c r="I1870" i="2"/>
  <c r="H1870" i="2"/>
  <c r="L1870" i="2" s="1"/>
  <c r="E1870" i="2"/>
  <c r="D1870" i="2"/>
  <c r="C1870" i="2"/>
  <c r="B1870" i="2"/>
  <c r="A1870" i="2"/>
  <c r="K1869" i="2"/>
  <c r="L1869" i="2" s="1"/>
  <c r="J1869" i="2"/>
  <c r="I1869" i="2"/>
  <c r="H1869" i="2"/>
  <c r="F1869" i="2"/>
  <c r="E1869" i="2"/>
  <c r="D1869" i="2"/>
  <c r="C1869" i="2"/>
  <c r="B1869" i="2"/>
  <c r="G1869" i="2" s="1"/>
  <c r="A1869" i="2"/>
  <c r="K1868" i="2"/>
  <c r="J1868" i="2"/>
  <c r="I1868" i="2"/>
  <c r="H1868" i="2"/>
  <c r="E1868" i="2"/>
  <c r="D1868" i="2"/>
  <c r="C1868" i="2"/>
  <c r="F1868" i="2" s="1"/>
  <c r="G1868" i="2" s="1"/>
  <c r="B1868" i="2"/>
  <c r="A1868" i="2"/>
  <c r="K1867" i="2"/>
  <c r="J1867" i="2"/>
  <c r="I1867" i="2"/>
  <c r="H1867" i="2"/>
  <c r="E1867" i="2"/>
  <c r="D1867" i="2"/>
  <c r="C1867" i="2"/>
  <c r="F1867" i="2" s="1"/>
  <c r="G1867" i="2" s="1"/>
  <c r="B1867" i="2"/>
  <c r="A1867" i="2"/>
  <c r="M1866" i="2"/>
  <c r="K1866" i="2"/>
  <c r="J1866" i="2"/>
  <c r="I1866" i="2"/>
  <c r="L1866" i="2" s="1"/>
  <c r="H1866" i="2"/>
  <c r="E1866" i="2"/>
  <c r="D1866" i="2"/>
  <c r="C1866" i="2"/>
  <c r="F1866" i="2" s="1"/>
  <c r="B1866" i="2"/>
  <c r="G1866" i="2" s="1"/>
  <c r="A1866" i="2"/>
  <c r="K1865" i="2"/>
  <c r="J1865" i="2"/>
  <c r="I1865" i="2"/>
  <c r="H1865" i="2"/>
  <c r="L1865" i="2" s="1"/>
  <c r="F1865" i="2"/>
  <c r="E1865" i="2"/>
  <c r="D1865" i="2"/>
  <c r="C1865" i="2"/>
  <c r="B1865" i="2"/>
  <c r="G1865" i="2" s="1"/>
  <c r="A1865" i="2"/>
  <c r="K1864" i="2"/>
  <c r="J1864" i="2"/>
  <c r="I1864" i="2"/>
  <c r="H1864" i="2"/>
  <c r="G1864" i="2"/>
  <c r="E1864" i="2"/>
  <c r="F1864" i="2" s="1"/>
  <c r="D1864" i="2"/>
  <c r="C1864" i="2"/>
  <c r="B1864" i="2"/>
  <c r="A1864" i="2"/>
  <c r="K1863" i="2"/>
  <c r="J1863" i="2"/>
  <c r="I1863" i="2"/>
  <c r="H1863" i="2"/>
  <c r="E1863" i="2"/>
  <c r="D1863" i="2"/>
  <c r="C1863" i="2"/>
  <c r="B1863" i="2"/>
  <c r="A1863" i="2"/>
  <c r="K1862" i="2"/>
  <c r="L1862" i="2" s="1"/>
  <c r="J1862" i="2"/>
  <c r="I1862" i="2"/>
  <c r="H1862" i="2"/>
  <c r="E1862" i="2"/>
  <c r="D1862" i="2"/>
  <c r="F1862" i="2" s="1"/>
  <c r="C1862" i="2"/>
  <c r="B1862" i="2"/>
  <c r="G1862" i="2" s="1"/>
  <c r="A1862" i="2"/>
  <c r="K1861" i="2"/>
  <c r="J1861" i="2"/>
  <c r="I1861" i="2"/>
  <c r="H1861" i="2"/>
  <c r="L1861" i="2" s="1"/>
  <c r="E1861" i="2"/>
  <c r="F1861" i="2" s="1"/>
  <c r="G1861" i="2" s="1"/>
  <c r="M1861" i="2" s="1"/>
  <c r="D1861" i="2"/>
  <c r="C1861" i="2"/>
  <c r="B1861" i="2"/>
  <c r="A1861" i="2"/>
  <c r="K1860" i="2"/>
  <c r="J1860" i="2"/>
  <c r="I1860" i="2"/>
  <c r="H1860" i="2"/>
  <c r="L1860" i="2" s="1"/>
  <c r="E1860" i="2"/>
  <c r="D1860" i="2"/>
  <c r="C1860" i="2"/>
  <c r="B1860" i="2"/>
  <c r="A1860" i="2"/>
  <c r="K1859" i="2"/>
  <c r="J1859" i="2"/>
  <c r="L1859" i="2" s="1"/>
  <c r="I1859" i="2"/>
  <c r="H1859" i="2"/>
  <c r="G1859" i="2"/>
  <c r="M1859" i="2" s="1"/>
  <c r="E1859" i="2"/>
  <c r="D1859" i="2"/>
  <c r="C1859" i="2"/>
  <c r="F1859" i="2" s="1"/>
  <c r="B1859" i="2"/>
  <c r="A1859" i="2"/>
  <c r="K1858" i="2"/>
  <c r="J1858" i="2"/>
  <c r="I1858" i="2"/>
  <c r="H1858" i="2"/>
  <c r="E1858" i="2"/>
  <c r="D1858" i="2"/>
  <c r="C1858" i="2"/>
  <c r="B1858" i="2"/>
  <c r="A1858" i="2"/>
  <c r="K1857" i="2"/>
  <c r="J1857" i="2"/>
  <c r="I1857" i="2"/>
  <c r="H1857" i="2"/>
  <c r="L1857" i="2" s="1"/>
  <c r="F1857" i="2"/>
  <c r="E1857" i="2"/>
  <c r="D1857" i="2"/>
  <c r="C1857" i="2"/>
  <c r="B1857" i="2"/>
  <c r="G1857" i="2" s="1"/>
  <c r="A1857" i="2"/>
  <c r="K1856" i="2"/>
  <c r="J1856" i="2"/>
  <c r="I1856" i="2"/>
  <c r="H1856" i="2"/>
  <c r="E1856" i="2"/>
  <c r="D1856" i="2"/>
  <c r="C1856" i="2"/>
  <c r="B1856" i="2"/>
  <c r="A1856" i="2"/>
  <c r="K1855" i="2"/>
  <c r="J1855" i="2"/>
  <c r="I1855" i="2"/>
  <c r="H1855" i="2"/>
  <c r="L1855" i="2" s="1"/>
  <c r="M1855" i="2" s="1"/>
  <c r="G1855" i="2"/>
  <c r="E1855" i="2"/>
  <c r="D1855" i="2"/>
  <c r="C1855" i="2"/>
  <c r="F1855" i="2" s="1"/>
  <c r="B1855" i="2"/>
  <c r="A1855" i="2"/>
  <c r="L1854" i="2"/>
  <c r="K1854" i="2"/>
  <c r="J1854" i="2"/>
  <c r="I1854" i="2"/>
  <c r="H1854" i="2"/>
  <c r="E1854" i="2"/>
  <c r="F1854" i="2" s="1"/>
  <c r="D1854" i="2"/>
  <c r="C1854" i="2"/>
  <c r="B1854" i="2"/>
  <c r="A1854" i="2"/>
  <c r="L1853" i="2"/>
  <c r="K1853" i="2"/>
  <c r="J1853" i="2"/>
  <c r="I1853" i="2"/>
  <c r="H1853" i="2"/>
  <c r="E1853" i="2"/>
  <c r="D1853" i="2"/>
  <c r="C1853" i="2"/>
  <c r="B1853" i="2"/>
  <c r="A1853" i="2"/>
  <c r="K1852" i="2"/>
  <c r="J1852" i="2"/>
  <c r="I1852" i="2"/>
  <c r="H1852" i="2"/>
  <c r="E1852" i="2"/>
  <c r="D1852" i="2"/>
  <c r="F1852" i="2" s="1"/>
  <c r="G1852" i="2" s="1"/>
  <c r="C1852" i="2"/>
  <c r="B1852" i="2"/>
  <c r="A1852" i="2"/>
  <c r="K1851" i="2"/>
  <c r="J1851" i="2"/>
  <c r="I1851" i="2"/>
  <c r="H1851" i="2"/>
  <c r="E1851" i="2"/>
  <c r="D1851" i="2"/>
  <c r="C1851" i="2"/>
  <c r="F1851" i="2" s="1"/>
  <c r="G1851" i="2" s="1"/>
  <c r="B1851" i="2"/>
  <c r="A1851" i="2"/>
  <c r="K1850" i="2"/>
  <c r="J1850" i="2"/>
  <c r="I1850" i="2"/>
  <c r="L1850" i="2" s="1"/>
  <c r="H1850" i="2"/>
  <c r="F1850" i="2"/>
  <c r="E1850" i="2"/>
  <c r="D1850" i="2"/>
  <c r="C1850" i="2"/>
  <c r="B1850" i="2"/>
  <c r="A1850" i="2"/>
  <c r="K1849" i="2"/>
  <c r="J1849" i="2"/>
  <c r="I1849" i="2"/>
  <c r="L1849" i="2" s="1"/>
  <c r="H1849" i="2"/>
  <c r="F1849" i="2"/>
  <c r="E1849" i="2"/>
  <c r="D1849" i="2"/>
  <c r="C1849" i="2"/>
  <c r="B1849" i="2"/>
  <c r="A1849" i="2"/>
  <c r="K1848" i="2"/>
  <c r="J1848" i="2"/>
  <c r="I1848" i="2"/>
  <c r="H1848" i="2"/>
  <c r="L1848" i="2" s="1"/>
  <c r="F1848" i="2"/>
  <c r="E1848" i="2"/>
  <c r="D1848" i="2"/>
  <c r="C1848" i="2"/>
  <c r="B1848" i="2"/>
  <c r="A1848" i="2"/>
  <c r="K1847" i="2"/>
  <c r="J1847" i="2"/>
  <c r="I1847" i="2"/>
  <c r="H1847" i="2"/>
  <c r="L1847" i="2" s="1"/>
  <c r="E1847" i="2"/>
  <c r="D1847" i="2"/>
  <c r="C1847" i="2"/>
  <c r="B1847" i="2"/>
  <c r="A1847" i="2"/>
  <c r="K1846" i="2"/>
  <c r="J1846" i="2"/>
  <c r="I1846" i="2"/>
  <c r="H1846" i="2"/>
  <c r="L1846" i="2" s="1"/>
  <c r="F1846" i="2"/>
  <c r="E1846" i="2"/>
  <c r="D1846" i="2"/>
  <c r="C1846" i="2"/>
  <c r="B1846" i="2"/>
  <c r="A1846" i="2"/>
  <c r="K1845" i="2"/>
  <c r="J1845" i="2"/>
  <c r="I1845" i="2"/>
  <c r="H1845" i="2"/>
  <c r="E1845" i="2"/>
  <c r="D1845" i="2"/>
  <c r="C1845" i="2"/>
  <c r="F1845" i="2" s="1"/>
  <c r="G1845" i="2" s="1"/>
  <c r="B1845" i="2"/>
  <c r="A1845" i="2"/>
  <c r="L1844" i="2"/>
  <c r="K1844" i="2"/>
  <c r="J1844" i="2"/>
  <c r="I1844" i="2"/>
  <c r="H1844" i="2"/>
  <c r="E1844" i="2"/>
  <c r="F1844" i="2" s="1"/>
  <c r="D1844" i="2"/>
  <c r="C1844" i="2"/>
  <c r="B1844" i="2"/>
  <c r="G1844" i="2" s="1"/>
  <c r="M1844" i="2" s="1"/>
  <c r="A1844" i="2"/>
  <c r="L1843" i="2"/>
  <c r="K1843" i="2"/>
  <c r="J1843" i="2"/>
  <c r="I1843" i="2"/>
  <c r="H1843" i="2"/>
  <c r="E1843" i="2"/>
  <c r="D1843" i="2"/>
  <c r="C1843" i="2"/>
  <c r="F1843" i="2" s="1"/>
  <c r="B1843" i="2"/>
  <c r="A1843" i="2"/>
  <c r="K1842" i="2"/>
  <c r="J1842" i="2"/>
  <c r="I1842" i="2"/>
  <c r="H1842" i="2"/>
  <c r="L1842" i="2" s="1"/>
  <c r="E1842" i="2"/>
  <c r="F1842" i="2" s="1"/>
  <c r="G1842" i="2" s="1"/>
  <c r="M1842" i="2" s="1"/>
  <c r="D1842" i="2"/>
  <c r="C1842" i="2"/>
  <c r="B1842" i="2"/>
  <c r="A1842" i="2"/>
  <c r="K1841" i="2"/>
  <c r="J1841" i="2"/>
  <c r="I1841" i="2"/>
  <c r="H1841" i="2"/>
  <c r="L1841" i="2" s="1"/>
  <c r="G1841" i="2"/>
  <c r="M1841" i="2" s="1"/>
  <c r="F1841" i="2"/>
  <c r="E1841" i="2"/>
  <c r="D1841" i="2"/>
  <c r="C1841" i="2"/>
  <c r="B1841" i="2"/>
  <c r="A1841" i="2"/>
  <c r="K1840" i="2"/>
  <c r="J1840" i="2"/>
  <c r="I1840" i="2"/>
  <c r="H1840" i="2"/>
  <c r="F1840" i="2"/>
  <c r="E1840" i="2"/>
  <c r="D1840" i="2"/>
  <c r="C1840" i="2"/>
  <c r="B1840" i="2"/>
  <c r="A1840" i="2"/>
  <c r="K1839" i="2"/>
  <c r="L1839" i="2" s="1"/>
  <c r="J1839" i="2"/>
  <c r="I1839" i="2"/>
  <c r="H1839" i="2"/>
  <c r="E1839" i="2"/>
  <c r="D1839" i="2"/>
  <c r="C1839" i="2"/>
  <c r="F1839" i="2" s="1"/>
  <c r="B1839" i="2"/>
  <c r="A1839" i="2"/>
  <c r="L1838" i="2"/>
  <c r="K1838" i="2"/>
  <c r="J1838" i="2"/>
  <c r="I1838" i="2"/>
  <c r="H1838" i="2"/>
  <c r="E1838" i="2"/>
  <c r="D1838" i="2"/>
  <c r="C1838" i="2"/>
  <c r="F1838" i="2" s="1"/>
  <c r="B1838" i="2"/>
  <c r="A1838" i="2"/>
  <c r="K1837" i="2"/>
  <c r="J1837" i="2"/>
  <c r="I1837" i="2"/>
  <c r="H1837" i="2"/>
  <c r="L1837" i="2" s="1"/>
  <c r="E1837" i="2"/>
  <c r="F1837" i="2" s="1"/>
  <c r="G1837" i="2" s="1"/>
  <c r="M1837" i="2" s="1"/>
  <c r="D1837" i="2"/>
  <c r="C1837" i="2"/>
  <c r="B1837" i="2"/>
  <c r="A1837" i="2"/>
  <c r="K1836" i="2"/>
  <c r="J1836" i="2"/>
  <c r="I1836" i="2"/>
  <c r="H1836" i="2"/>
  <c r="L1836" i="2" s="1"/>
  <c r="F1836" i="2"/>
  <c r="E1836" i="2"/>
  <c r="D1836" i="2"/>
  <c r="C1836" i="2"/>
  <c r="B1836" i="2"/>
  <c r="A1836" i="2"/>
  <c r="K1835" i="2"/>
  <c r="J1835" i="2"/>
  <c r="I1835" i="2"/>
  <c r="L1835" i="2" s="1"/>
  <c r="H1835" i="2"/>
  <c r="E1835" i="2"/>
  <c r="D1835" i="2"/>
  <c r="C1835" i="2"/>
  <c r="F1835" i="2" s="1"/>
  <c r="B1835" i="2"/>
  <c r="G1835" i="2" s="1"/>
  <c r="M1835" i="2" s="1"/>
  <c r="A1835" i="2"/>
  <c r="L1834" i="2"/>
  <c r="K1834" i="2"/>
  <c r="J1834" i="2"/>
  <c r="I1834" i="2"/>
  <c r="H1834" i="2"/>
  <c r="E1834" i="2"/>
  <c r="D1834" i="2"/>
  <c r="F1834" i="2" s="1"/>
  <c r="C1834" i="2"/>
  <c r="B1834" i="2"/>
  <c r="A1834" i="2"/>
  <c r="L1833" i="2"/>
  <c r="K1833" i="2"/>
  <c r="J1833" i="2"/>
  <c r="I1833" i="2"/>
  <c r="H1833" i="2"/>
  <c r="E1833" i="2"/>
  <c r="D1833" i="2"/>
  <c r="C1833" i="2"/>
  <c r="F1833" i="2" s="1"/>
  <c r="G1833" i="2" s="1"/>
  <c r="M1833" i="2" s="1"/>
  <c r="B1833" i="2"/>
  <c r="A1833" i="2"/>
  <c r="K1832" i="2"/>
  <c r="J1832" i="2"/>
  <c r="I1832" i="2"/>
  <c r="H1832" i="2"/>
  <c r="L1832" i="2" s="1"/>
  <c r="F1832" i="2"/>
  <c r="G1832" i="2" s="1"/>
  <c r="M1832" i="2" s="1"/>
  <c r="E1832" i="2"/>
  <c r="D1832" i="2"/>
  <c r="C1832" i="2"/>
  <c r="B1832" i="2"/>
  <c r="A1832" i="2"/>
  <c r="K1831" i="2"/>
  <c r="J1831" i="2"/>
  <c r="I1831" i="2"/>
  <c r="H1831" i="2"/>
  <c r="L1831" i="2" s="1"/>
  <c r="F1831" i="2"/>
  <c r="G1831" i="2" s="1"/>
  <c r="M1831" i="2" s="1"/>
  <c r="E1831" i="2"/>
  <c r="D1831" i="2"/>
  <c r="C1831" i="2"/>
  <c r="B1831" i="2"/>
  <c r="A1831" i="2"/>
  <c r="K1830" i="2"/>
  <c r="J1830" i="2"/>
  <c r="I1830" i="2"/>
  <c r="H1830" i="2"/>
  <c r="L1830" i="2" s="1"/>
  <c r="E1830" i="2"/>
  <c r="D1830" i="2"/>
  <c r="C1830" i="2"/>
  <c r="F1830" i="2" s="1"/>
  <c r="B1830" i="2"/>
  <c r="A1830" i="2"/>
  <c r="L1829" i="2"/>
  <c r="K1829" i="2"/>
  <c r="J1829" i="2"/>
  <c r="I1829" i="2"/>
  <c r="H1829" i="2"/>
  <c r="E1829" i="2"/>
  <c r="D1829" i="2"/>
  <c r="F1829" i="2" s="1"/>
  <c r="C1829" i="2"/>
  <c r="B1829" i="2"/>
  <c r="G1829" i="2" s="1"/>
  <c r="A1829" i="2"/>
  <c r="L1828" i="2"/>
  <c r="K1828" i="2"/>
  <c r="J1828" i="2"/>
  <c r="I1828" i="2"/>
  <c r="H1828" i="2"/>
  <c r="E1828" i="2"/>
  <c r="D1828" i="2"/>
  <c r="C1828" i="2"/>
  <c r="B1828" i="2"/>
  <c r="A1828" i="2"/>
  <c r="K1827" i="2"/>
  <c r="J1827" i="2"/>
  <c r="I1827" i="2"/>
  <c r="H1827" i="2"/>
  <c r="L1827" i="2" s="1"/>
  <c r="G1827" i="2"/>
  <c r="F1827" i="2"/>
  <c r="E1827" i="2"/>
  <c r="D1827" i="2"/>
  <c r="C1827" i="2"/>
  <c r="B1827" i="2"/>
  <c r="A1827" i="2"/>
  <c r="K1826" i="2"/>
  <c r="J1826" i="2"/>
  <c r="I1826" i="2"/>
  <c r="H1826" i="2"/>
  <c r="F1826" i="2"/>
  <c r="E1826" i="2"/>
  <c r="D1826" i="2"/>
  <c r="C1826" i="2"/>
  <c r="B1826" i="2"/>
  <c r="A1826" i="2"/>
  <c r="K1825" i="2"/>
  <c r="L1825" i="2" s="1"/>
  <c r="J1825" i="2"/>
  <c r="I1825" i="2"/>
  <c r="H1825" i="2"/>
  <c r="E1825" i="2"/>
  <c r="D1825" i="2"/>
  <c r="C1825" i="2"/>
  <c r="F1825" i="2" s="1"/>
  <c r="B1825" i="2"/>
  <c r="G1825" i="2" s="1"/>
  <c r="A1825" i="2"/>
  <c r="L1824" i="2"/>
  <c r="K1824" i="2"/>
  <c r="J1824" i="2"/>
  <c r="I1824" i="2"/>
  <c r="H1824" i="2"/>
  <c r="E1824" i="2"/>
  <c r="D1824" i="2"/>
  <c r="F1824" i="2" s="1"/>
  <c r="C1824" i="2"/>
  <c r="B1824" i="2"/>
  <c r="G1824" i="2" s="1"/>
  <c r="M1824" i="2" s="1"/>
  <c r="A1824" i="2"/>
  <c r="L1823" i="2"/>
  <c r="K1823" i="2"/>
  <c r="J1823" i="2"/>
  <c r="I1823" i="2"/>
  <c r="H1823" i="2"/>
  <c r="E1823" i="2"/>
  <c r="D1823" i="2"/>
  <c r="C1823" i="2"/>
  <c r="B1823" i="2"/>
  <c r="A1823" i="2"/>
  <c r="K1822" i="2"/>
  <c r="J1822" i="2"/>
  <c r="I1822" i="2"/>
  <c r="H1822" i="2"/>
  <c r="L1822" i="2" s="1"/>
  <c r="G1822" i="2"/>
  <c r="F1822" i="2"/>
  <c r="E1822" i="2"/>
  <c r="D1822" i="2"/>
  <c r="C1822" i="2"/>
  <c r="B1822" i="2"/>
  <c r="A1822" i="2"/>
  <c r="K1821" i="2"/>
  <c r="J1821" i="2"/>
  <c r="I1821" i="2"/>
  <c r="H1821" i="2"/>
  <c r="G1821" i="2"/>
  <c r="F1821" i="2"/>
  <c r="E1821" i="2"/>
  <c r="D1821" i="2"/>
  <c r="C1821" i="2"/>
  <c r="B1821" i="2"/>
  <c r="A1821" i="2"/>
  <c r="L1820" i="2"/>
  <c r="K1820" i="2"/>
  <c r="J1820" i="2"/>
  <c r="I1820" i="2"/>
  <c r="H1820" i="2"/>
  <c r="E1820" i="2"/>
  <c r="D1820" i="2"/>
  <c r="C1820" i="2"/>
  <c r="F1820" i="2" s="1"/>
  <c r="B1820" i="2"/>
  <c r="G1820" i="2" s="1"/>
  <c r="M1820" i="2" s="1"/>
  <c r="A1820" i="2"/>
  <c r="L1819" i="2"/>
  <c r="K1819" i="2"/>
  <c r="J1819" i="2"/>
  <c r="I1819" i="2"/>
  <c r="H1819" i="2"/>
  <c r="E1819" i="2"/>
  <c r="D1819" i="2"/>
  <c r="C1819" i="2"/>
  <c r="F1819" i="2" s="1"/>
  <c r="B1819" i="2"/>
  <c r="A1819" i="2"/>
  <c r="K1818" i="2"/>
  <c r="J1818" i="2"/>
  <c r="I1818" i="2"/>
  <c r="H1818" i="2"/>
  <c r="L1818" i="2" s="1"/>
  <c r="F1818" i="2"/>
  <c r="G1818" i="2" s="1"/>
  <c r="M1818" i="2" s="1"/>
  <c r="E1818" i="2"/>
  <c r="D1818" i="2"/>
  <c r="C1818" i="2"/>
  <c r="B1818" i="2"/>
  <c r="A1818" i="2"/>
  <c r="K1817" i="2"/>
  <c r="J1817" i="2"/>
  <c r="I1817" i="2"/>
  <c r="H1817" i="2"/>
  <c r="G1817" i="2"/>
  <c r="F1817" i="2"/>
  <c r="E1817" i="2"/>
  <c r="D1817" i="2"/>
  <c r="C1817" i="2"/>
  <c r="B1817" i="2"/>
  <c r="A1817" i="2"/>
  <c r="K1816" i="2"/>
  <c r="L1816" i="2" s="1"/>
  <c r="J1816" i="2"/>
  <c r="I1816" i="2"/>
  <c r="H1816" i="2"/>
  <c r="E1816" i="2"/>
  <c r="D1816" i="2"/>
  <c r="C1816" i="2"/>
  <c r="F1816" i="2" s="1"/>
  <c r="B1816" i="2"/>
  <c r="A1816" i="2"/>
  <c r="L1815" i="2"/>
  <c r="K1815" i="2"/>
  <c r="J1815" i="2"/>
  <c r="I1815" i="2"/>
  <c r="H1815" i="2"/>
  <c r="E1815" i="2"/>
  <c r="D1815" i="2"/>
  <c r="C1815" i="2"/>
  <c r="B1815" i="2"/>
  <c r="A1815" i="2"/>
  <c r="K1814" i="2"/>
  <c r="J1814" i="2"/>
  <c r="I1814" i="2"/>
  <c r="H1814" i="2"/>
  <c r="L1814" i="2" s="1"/>
  <c r="E1814" i="2"/>
  <c r="F1814" i="2" s="1"/>
  <c r="G1814" i="2" s="1"/>
  <c r="D1814" i="2"/>
  <c r="C1814" i="2"/>
  <c r="B1814" i="2"/>
  <c r="A1814" i="2"/>
  <c r="K1813" i="2"/>
  <c r="J1813" i="2"/>
  <c r="I1813" i="2"/>
  <c r="H1813" i="2"/>
  <c r="E1813" i="2"/>
  <c r="D1813" i="2"/>
  <c r="C1813" i="2"/>
  <c r="B1813" i="2"/>
  <c r="A1813" i="2"/>
  <c r="K1812" i="2"/>
  <c r="J1812" i="2"/>
  <c r="L1812" i="2" s="1"/>
  <c r="I1812" i="2"/>
  <c r="H1812" i="2"/>
  <c r="E1812" i="2"/>
  <c r="D1812" i="2"/>
  <c r="C1812" i="2"/>
  <c r="F1812" i="2" s="1"/>
  <c r="B1812" i="2"/>
  <c r="G1812" i="2" s="1"/>
  <c r="A1812" i="2"/>
  <c r="K1811" i="2"/>
  <c r="J1811" i="2"/>
  <c r="I1811" i="2"/>
  <c r="H1811" i="2"/>
  <c r="E1811" i="2"/>
  <c r="D1811" i="2"/>
  <c r="C1811" i="2"/>
  <c r="B1811" i="2"/>
  <c r="A1811" i="2"/>
  <c r="K1810" i="2"/>
  <c r="J1810" i="2"/>
  <c r="I1810" i="2"/>
  <c r="H1810" i="2"/>
  <c r="L1810" i="2" s="1"/>
  <c r="G1810" i="2"/>
  <c r="F1810" i="2"/>
  <c r="E1810" i="2"/>
  <c r="D1810" i="2"/>
  <c r="C1810" i="2"/>
  <c r="B1810" i="2"/>
  <c r="A1810" i="2"/>
  <c r="K1809" i="2"/>
  <c r="J1809" i="2"/>
  <c r="I1809" i="2"/>
  <c r="L1809" i="2" s="1"/>
  <c r="H1809" i="2"/>
  <c r="G1809" i="2"/>
  <c r="F1809" i="2"/>
  <c r="E1809" i="2"/>
  <c r="D1809" i="2"/>
  <c r="C1809" i="2"/>
  <c r="B1809" i="2"/>
  <c r="A1809" i="2"/>
  <c r="L1808" i="2"/>
  <c r="K1808" i="2"/>
  <c r="J1808" i="2"/>
  <c r="I1808" i="2"/>
  <c r="H1808" i="2"/>
  <c r="E1808" i="2"/>
  <c r="D1808" i="2"/>
  <c r="C1808" i="2"/>
  <c r="F1808" i="2" s="1"/>
  <c r="B1808" i="2"/>
  <c r="G1808" i="2" s="1"/>
  <c r="A1808" i="2"/>
  <c r="L1807" i="2"/>
  <c r="K1807" i="2"/>
  <c r="J1807" i="2"/>
  <c r="I1807" i="2"/>
  <c r="H1807" i="2"/>
  <c r="F1807" i="2"/>
  <c r="G1807" i="2" s="1"/>
  <c r="M1807" i="2" s="1"/>
  <c r="E1807" i="2"/>
  <c r="D1807" i="2"/>
  <c r="C1807" i="2"/>
  <c r="B1807" i="2"/>
  <c r="A1807" i="2"/>
  <c r="K1806" i="2"/>
  <c r="J1806" i="2"/>
  <c r="I1806" i="2"/>
  <c r="H1806" i="2"/>
  <c r="F1806" i="2"/>
  <c r="E1806" i="2"/>
  <c r="D1806" i="2"/>
  <c r="C1806" i="2"/>
  <c r="B1806" i="2"/>
  <c r="A1806" i="2"/>
  <c r="K1805" i="2"/>
  <c r="J1805" i="2"/>
  <c r="I1805" i="2"/>
  <c r="H1805" i="2"/>
  <c r="E1805" i="2"/>
  <c r="D1805" i="2"/>
  <c r="C1805" i="2"/>
  <c r="F1805" i="2" s="1"/>
  <c r="B1805" i="2"/>
  <c r="G1805" i="2" s="1"/>
  <c r="A1805" i="2"/>
  <c r="L1804" i="2"/>
  <c r="K1804" i="2"/>
  <c r="J1804" i="2"/>
  <c r="I1804" i="2"/>
  <c r="H1804" i="2"/>
  <c r="E1804" i="2"/>
  <c r="D1804" i="2"/>
  <c r="F1804" i="2" s="1"/>
  <c r="C1804" i="2"/>
  <c r="B1804" i="2"/>
  <c r="G1804" i="2" s="1"/>
  <c r="A1804" i="2"/>
  <c r="L1803" i="2"/>
  <c r="K1803" i="2"/>
  <c r="J1803" i="2"/>
  <c r="I1803" i="2"/>
  <c r="H1803" i="2"/>
  <c r="E1803" i="2"/>
  <c r="D1803" i="2"/>
  <c r="C1803" i="2"/>
  <c r="B1803" i="2"/>
  <c r="A1803" i="2"/>
  <c r="K1802" i="2"/>
  <c r="J1802" i="2"/>
  <c r="I1802" i="2"/>
  <c r="H1802" i="2"/>
  <c r="L1802" i="2" s="1"/>
  <c r="F1802" i="2"/>
  <c r="G1802" i="2" s="1"/>
  <c r="M1802" i="2" s="1"/>
  <c r="E1802" i="2"/>
  <c r="D1802" i="2"/>
  <c r="C1802" i="2"/>
  <c r="B1802" i="2"/>
  <c r="A1802" i="2"/>
  <c r="K1801" i="2"/>
  <c r="J1801" i="2"/>
  <c r="I1801" i="2"/>
  <c r="H1801" i="2"/>
  <c r="G1801" i="2"/>
  <c r="F1801" i="2"/>
  <c r="E1801" i="2"/>
  <c r="D1801" i="2"/>
  <c r="C1801" i="2"/>
  <c r="B1801" i="2"/>
  <c r="A1801" i="2"/>
  <c r="L1800" i="2"/>
  <c r="K1800" i="2"/>
  <c r="J1800" i="2"/>
  <c r="I1800" i="2"/>
  <c r="H1800" i="2"/>
  <c r="E1800" i="2"/>
  <c r="D1800" i="2"/>
  <c r="C1800" i="2"/>
  <c r="F1800" i="2" s="1"/>
  <c r="B1800" i="2"/>
  <c r="A1800" i="2"/>
  <c r="L1799" i="2"/>
  <c r="K1799" i="2"/>
  <c r="J1799" i="2"/>
  <c r="I1799" i="2"/>
  <c r="H1799" i="2"/>
  <c r="E1799" i="2"/>
  <c r="D1799" i="2"/>
  <c r="F1799" i="2" s="1"/>
  <c r="G1799" i="2" s="1"/>
  <c r="M1799" i="2" s="1"/>
  <c r="C1799" i="2"/>
  <c r="B1799" i="2"/>
  <c r="A1799" i="2"/>
  <c r="K1798" i="2"/>
  <c r="J1798" i="2"/>
  <c r="I1798" i="2"/>
  <c r="H1798" i="2"/>
  <c r="L1798" i="2" s="1"/>
  <c r="G1798" i="2"/>
  <c r="M1798" i="2" s="1"/>
  <c r="F1798" i="2"/>
  <c r="E1798" i="2"/>
  <c r="D1798" i="2"/>
  <c r="C1798" i="2"/>
  <c r="B1798" i="2"/>
  <c r="A1798" i="2"/>
  <c r="L1797" i="2"/>
  <c r="K1797" i="2"/>
  <c r="J1797" i="2"/>
  <c r="I1797" i="2"/>
  <c r="H1797" i="2"/>
  <c r="E1797" i="2"/>
  <c r="D1797" i="2"/>
  <c r="C1797" i="2"/>
  <c r="F1797" i="2" s="1"/>
  <c r="B1797" i="2"/>
  <c r="G1797" i="2" s="1"/>
  <c r="M1797" i="2" s="1"/>
  <c r="A1797" i="2"/>
  <c r="L1796" i="2"/>
  <c r="K1796" i="2"/>
  <c r="J1796" i="2"/>
  <c r="I1796" i="2"/>
  <c r="H1796" i="2"/>
  <c r="E1796" i="2"/>
  <c r="D1796" i="2"/>
  <c r="C1796" i="2"/>
  <c r="F1796" i="2" s="1"/>
  <c r="B1796" i="2"/>
  <c r="A1796" i="2"/>
  <c r="K1795" i="2"/>
  <c r="J1795" i="2"/>
  <c r="I1795" i="2"/>
  <c r="H1795" i="2"/>
  <c r="L1795" i="2" s="1"/>
  <c r="G1795" i="2"/>
  <c r="M1795" i="2" s="1"/>
  <c r="F1795" i="2"/>
  <c r="E1795" i="2"/>
  <c r="D1795" i="2"/>
  <c r="C1795" i="2"/>
  <c r="B1795" i="2"/>
  <c r="A1795" i="2"/>
  <c r="K1794" i="2"/>
  <c r="J1794" i="2"/>
  <c r="I1794" i="2"/>
  <c r="H1794" i="2"/>
  <c r="L1794" i="2" s="1"/>
  <c r="G1794" i="2"/>
  <c r="F1794" i="2"/>
  <c r="E1794" i="2"/>
  <c r="D1794" i="2"/>
  <c r="C1794" i="2"/>
  <c r="B1794" i="2"/>
  <c r="A1794" i="2"/>
  <c r="K1793" i="2"/>
  <c r="J1793" i="2"/>
  <c r="L1793" i="2" s="1"/>
  <c r="I1793" i="2"/>
  <c r="H1793" i="2"/>
  <c r="E1793" i="2"/>
  <c r="D1793" i="2"/>
  <c r="C1793" i="2"/>
  <c r="F1793" i="2" s="1"/>
  <c r="B1793" i="2"/>
  <c r="G1793" i="2" s="1"/>
  <c r="A1793" i="2"/>
  <c r="L1792" i="2"/>
  <c r="K1792" i="2"/>
  <c r="J1792" i="2"/>
  <c r="I1792" i="2"/>
  <c r="H1792" i="2"/>
  <c r="E1792" i="2"/>
  <c r="D1792" i="2"/>
  <c r="C1792" i="2"/>
  <c r="B1792" i="2"/>
  <c r="A1792" i="2"/>
  <c r="K1791" i="2"/>
  <c r="J1791" i="2"/>
  <c r="I1791" i="2"/>
  <c r="H1791" i="2"/>
  <c r="L1791" i="2" s="1"/>
  <c r="F1791" i="2"/>
  <c r="G1791" i="2" s="1"/>
  <c r="M1791" i="2" s="1"/>
  <c r="E1791" i="2"/>
  <c r="D1791" i="2"/>
  <c r="C1791" i="2"/>
  <c r="B1791" i="2"/>
  <c r="A1791" i="2"/>
  <c r="K1790" i="2"/>
  <c r="J1790" i="2"/>
  <c r="I1790" i="2"/>
  <c r="H1790" i="2"/>
  <c r="G1790" i="2"/>
  <c r="F1790" i="2"/>
  <c r="E1790" i="2"/>
  <c r="D1790" i="2"/>
  <c r="C1790" i="2"/>
  <c r="B1790" i="2"/>
  <c r="A1790" i="2"/>
  <c r="L1789" i="2"/>
  <c r="K1789" i="2"/>
  <c r="J1789" i="2"/>
  <c r="I1789" i="2"/>
  <c r="H1789" i="2"/>
  <c r="E1789" i="2"/>
  <c r="D1789" i="2"/>
  <c r="C1789" i="2"/>
  <c r="F1789" i="2" s="1"/>
  <c r="B1789" i="2"/>
  <c r="G1789" i="2" s="1"/>
  <c r="A1789" i="2"/>
  <c r="L1788" i="2"/>
  <c r="K1788" i="2"/>
  <c r="J1788" i="2"/>
  <c r="I1788" i="2"/>
  <c r="H1788" i="2"/>
  <c r="E1788" i="2"/>
  <c r="D1788" i="2"/>
  <c r="C1788" i="2"/>
  <c r="F1788" i="2" s="1"/>
  <c r="B1788" i="2"/>
  <c r="A1788" i="2"/>
  <c r="K1787" i="2"/>
  <c r="J1787" i="2"/>
  <c r="I1787" i="2"/>
  <c r="H1787" i="2"/>
  <c r="L1787" i="2" s="1"/>
  <c r="G1787" i="2"/>
  <c r="M1787" i="2" s="1"/>
  <c r="F1787" i="2"/>
  <c r="E1787" i="2"/>
  <c r="D1787" i="2"/>
  <c r="C1787" i="2"/>
  <c r="B1787" i="2"/>
  <c r="A1787" i="2"/>
  <c r="K1786" i="2"/>
  <c r="J1786" i="2"/>
  <c r="I1786" i="2"/>
  <c r="H1786" i="2"/>
  <c r="F1786" i="2"/>
  <c r="E1786" i="2"/>
  <c r="D1786" i="2"/>
  <c r="C1786" i="2"/>
  <c r="B1786" i="2"/>
  <c r="A1786" i="2"/>
  <c r="L1785" i="2"/>
  <c r="K1785" i="2"/>
  <c r="J1785" i="2"/>
  <c r="I1785" i="2"/>
  <c r="H1785" i="2"/>
  <c r="E1785" i="2"/>
  <c r="D1785" i="2"/>
  <c r="C1785" i="2"/>
  <c r="F1785" i="2" s="1"/>
  <c r="B1785" i="2"/>
  <c r="A1785" i="2"/>
  <c r="L1784" i="2"/>
  <c r="K1784" i="2"/>
  <c r="J1784" i="2"/>
  <c r="I1784" i="2"/>
  <c r="H1784" i="2"/>
  <c r="E1784" i="2"/>
  <c r="D1784" i="2"/>
  <c r="C1784" i="2"/>
  <c r="B1784" i="2"/>
  <c r="A1784" i="2"/>
  <c r="K1783" i="2"/>
  <c r="J1783" i="2"/>
  <c r="I1783" i="2"/>
  <c r="H1783" i="2"/>
  <c r="L1783" i="2" s="1"/>
  <c r="E1783" i="2"/>
  <c r="D1783" i="2"/>
  <c r="C1783" i="2"/>
  <c r="B1783" i="2"/>
  <c r="A1783" i="2"/>
  <c r="K1782" i="2"/>
  <c r="J1782" i="2"/>
  <c r="I1782" i="2"/>
  <c r="H1782" i="2"/>
  <c r="L1782" i="2" s="1"/>
  <c r="G1782" i="2"/>
  <c r="M1782" i="2" s="1"/>
  <c r="F1782" i="2"/>
  <c r="E1782" i="2"/>
  <c r="D1782" i="2"/>
  <c r="C1782" i="2"/>
  <c r="B1782" i="2"/>
  <c r="A1782" i="2"/>
  <c r="K1781" i="2"/>
  <c r="J1781" i="2"/>
  <c r="I1781" i="2"/>
  <c r="H1781" i="2"/>
  <c r="E1781" i="2"/>
  <c r="D1781" i="2"/>
  <c r="C1781" i="2"/>
  <c r="F1781" i="2" s="1"/>
  <c r="G1781" i="2" s="1"/>
  <c r="B1781" i="2"/>
  <c r="A1781" i="2"/>
  <c r="L1780" i="2"/>
  <c r="K1780" i="2"/>
  <c r="J1780" i="2"/>
  <c r="I1780" i="2"/>
  <c r="H1780" i="2"/>
  <c r="E1780" i="2"/>
  <c r="D1780" i="2"/>
  <c r="C1780" i="2"/>
  <c r="B1780" i="2"/>
  <c r="A1780" i="2"/>
  <c r="K1779" i="2"/>
  <c r="J1779" i="2"/>
  <c r="I1779" i="2"/>
  <c r="L1779" i="2" s="1"/>
  <c r="H1779" i="2"/>
  <c r="F1779" i="2"/>
  <c r="G1779" i="2" s="1"/>
  <c r="M1779" i="2" s="1"/>
  <c r="E1779" i="2"/>
  <c r="D1779" i="2"/>
  <c r="C1779" i="2"/>
  <c r="B1779" i="2"/>
  <c r="A1779" i="2"/>
  <c r="K1778" i="2"/>
  <c r="J1778" i="2"/>
  <c r="I1778" i="2"/>
  <c r="H1778" i="2"/>
  <c r="E1778" i="2"/>
  <c r="D1778" i="2"/>
  <c r="C1778" i="2"/>
  <c r="F1778" i="2" s="1"/>
  <c r="B1778" i="2"/>
  <c r="G1778" i="2" s="1"/>
  <c r="A1778" i="2"/>
  <c r="L1777" i="2"/>
  <c r="K1777" i="2"/>
  <c r="J1777" i="2"/>
  <c r="I1777" i="2"/>
  <c r="H1777" i="2"/>
  <c r="E1777" i="2"/>
  <c r="D1777" i="2"/>
  <c r="C1777" i="2"/>
  <c r="F1777" i="2" s="1"/>
  <c r="B1777" i="2"/>
  <c r="A1777" i="2"/>
  <c r="K1776" i="2"/>
  <c r="J1776" i="2"/>
  <c r="I1776" i="2"/>
  <c r="H1776" i="2"/>
  <c r="L1776" i="2" s="1"/>
  <c r="F1776" i="2"/>
  <c r="E1776" i="2"/>
  <c r="D1776" i="2"/>
  <c r="C1776" i="2"/>
  <c r="B1776" i="2"/>
  <c r="A1776" i="2"/>
  <c r="K1775" i="2"/>
  <c r="J1775" i="2"/>
  <c r="I1775" i="2"/>
  <c r="H1775" i="2"/>
  <c r="G1775" i="2"/>
  <c r="F1775" i="2"/>
  <c r="E1775" i="2"/>
  <c r="D1775" i="2"/>
  <c r="C1775" i="2"/>
  <c r="B1775" i="2"/>
  <c r="A1775" i="2"/>
  <c r="K1774" i="2"/>
  <c r="J1774" i="2"/>
  <c r="I1774" i="2"/>
  <c r="H1774" i="2"/>
  <c r="L1774" i="2" s="1"/>
  <c r="E1774" i="2"/>
  <c r="D1774" i="2"/>
  <c r="F1774" i="2" s="1"/>
  <c r="C1774" i="2"/>
  <c r="B1774" i="2"/>
  <c r="A1774" i="2"/>
  <c r="L1773" i="2"/>
  <c r="K1773" i="2"/>
  <c r="J1773" i="2"/>
  <c r="I1773" i="2"/>
  <c r="H1773" i="2"/>
  <c r="E1773" i="2"/>
  <c r="D1773" i="2"/>
  <c r="C1773" i="2"/>
  <c r="F1773" i="2" s="1"/>
  <c r="B1773" i="2"/>
  <c r="G1773" i="2" s="1"/>
  <c r="M1773" i="2" s="1"/>
  <c r="A1773" i="2"/>
  <c r="L1772" i="2"/>
  <c r="K1772" i="2"/>
  <c r="J1772" i="2"/>
  <c r="I1772" i="2"/>
  <c r="H1772" i="2"/>
  <c r="E1772" i="2"/>
  <c r="F1772" i="2" s="1"/>
  <c r="G1772" i="2" s="1"/>
  <c r="M1772" i="2" s="1"/>
  <c r="D1772" i="2"/>
  <c r="C1772" i="2"/>
  <c r="B1772" i="2"/>
  <c r="A1772" i="2"/>
  <c r="K1771" i="2"/>
  <c r="J1771" i="2"/>
  <c r="I1771" i="2"/>
  <c r="H1771" i="2"/>
  <c r="L1771" i="2" s="1"/>
  <c r="F1771" i="2"/>
  <c r="G1771" i="2" s="1"/>
  <c r="M1771" i="2" s="1"/>
  <c r="E1771" i="2"/>
  <c r="D1771" i="2"/>
  <c r="C1771" i="2"/>
  <c r="B1771" i="2"/>
  <c r="A1771" i="2"/>
  <c r="K1770" i="2"/>
  <c r="J1770" i="2"/>
  <c r="I1770" i="2"/>
  <c r="H1770" i="2"/>
  <c r="E1770" i="2"/>
  <c r="D1770" i="2"/>
  <c r="C1770" i="2"/>
  <c r="F1770" i="2" s="1"/>
  <c r="B1770" i="2"/>
  <c r="A1770" i="2"/>
  <c r="L1769" i="2"/>
  <c r="K1769" i="2"/>
  <c r="J1769" i="2"/>
  <c r="I1769" i="2"/>
  <c r="H1769" i="2"/>
  <c r="E1769" i="2"/>
  <c r="D1769" i="2"/>
  <c r="C1769" i="2"/>
  <c r="B1769" i="2"/>
  <c r="A1769" i="2"/>
  <c r="K1768" i="2"/>
  <c r="J1768" i="2"/>
  <c r="I1768" i="2"/>
  <c r="H1768" i="2"/>
  <c r="L1768" i="2" s="1"/>
  <c r="E1768" i="2"/>
  <c r="F1768" i="2" s="1"/>
  <c r="G1768" i="2" s="1"/>
  <c r="M1768" i="2" s="1"/>
  <c r="D1768" i="2"/>
  <c r="C1768" i="2"/>
  <c r="B1768" i="2"/>
  <c r="A1768" i="2"/>
  <c r="K1767" i="2"/>
  <c r="J1767" i="2"/>
  <c r="I1767" i="2"/>
  <c r="H1767" i="2"/>
  <c r="L1767" i="2" s="1"/>
  <c r="G1767" i="2"/>
  <c r="F1767" i="2"/>
  <c r="E1767" i="2"/>
  <c r="D1767" i="2"/>
  <c r="C1767" i="2"/>
  <c r="B1767" i="2"/>
  <c r="A1767" i="2"/>
  <c r="K1766" i="2"/>
  <c r="L1766" i="2" s="1"/>
  <c r="J1766" i="2"/>
  <c r="I1766" i="2"/>
  <c r="H1766" i="2"/>
  <c r="E1766" i="2"/>
  <c r="D1766" i="2"/>
  <c r="C1766" i="2"/>
  <c r="F1766" i="2" s="1"/>
  <c r="B1766" i="2"/>
  <c r="G1766" i="2" s="1"/>
  <c r="A1766" i="2"/>
  <c r="L1765" i="2"/>
  <c r="K1765" i="2"/>
  <c r="J1765" i="2"/>
  <c r="I1765" i="2"/>
  <c r="H1765" i="2"/>
  <c r="E1765" i="2"/>
  <c r="D1765" i="2"/>
  <c r="C1765" i="2"/>
  <c r="F1765" i="2" s="1"/>
  <c r="B1765" i="2"/>
  <c r="A1765" i="2"/>
  <c r="K1764" i="2"/>
  <c r="J1764" i="2"/>
  <c r="I1764" i="2"/>
  <c r="H1764" i="2"/>
  <c r="L1764" i="2" s="1"/>
  <c r="F1764" i="2"/>
  <c r="G1764" i="2" s="1"/>
  <c r="M1764" i="2" s="1"/>
  <c r="E1764" i="2"/>
  <c r="D1764" i="2"/>
  <c r="C1764" i="2"/>
  <c r="B1764" i="2"/>
  <c r="A1764" i="2"/>
  <c r="K1763" i="2"/>
  <c r="J1763" i="2"/>
  <c r="I1763" i="2"/>
  <c r="H1763" i="2"/>
  <c r="E1763" i="2"/>
  <c r="D1763" i="2"/>
  <c r="C1763" i="2"/>
  <c r="B1763" i="2"/>
  <c r="A1763" i="2"/>
  <c r="L1762" i="2"/>
  <c r="K1762" i="2"/>
  <c r="J1762" i="2"/>
  <c r="I1762" i="2"/>
  <c r="H1762" i="2"/>
  <c r="E1762" i="2"/>
  <c r="D1762" i="2"/>
  <c r="C1762" i="2"/>
  <c r="F1762" i="2" s="1"/>
  <c r="B1762" i="2"/>
  <c r="A1762" i="2"/>
  <c r="L1761" i="2"/>
  <c r="K1761" i="2"/>
  <c r="J1761" i="2"/>
  <c r="I1761" i="2"/>
  <c r="H1761" i="2"/>
  <c r="E1761" i="2"/>
  <c r="D1761" i="2"/>
  <c r="C1761" i="2"/>
  <c r="B1761" i="2"/>
  <c r="A1761" i="2"/>
  <c r="K1760" i="2"/>
  <c r="J1760" i="2"/>
  <c r="I1760" i="2"/>
  <c r="H1760" i="2"/>
  <c r="L1760" i="2" s="1"/>
  <c r="G1760" i="2"/>
  <c r="M1760" i="2" s="1"/>
  <c r="F1760" i="2"/>
  <c r="E1760" i="2"/>
  <c r="D1760" i="2"/>
  <c r="C1760" i="2"/>
  <c r="B1760" i="2"/>
  <c r="A1760" i="2"/>
  <c r="K1759" i="2"/>
  <c r="J1759" i="2"/>
  <c r="I1759" i="2"/>
  <c r="H1759" i="2"/>
  <c r="L1759" i="2" s="1"/>
  <c r="E1759" i="2"/>
  <c r="D1759" i="2"/>
  <c r="C1759" i="2"/>
  <c r="F1759" i="2" s="1"/>
  <c r="B1759" i="2"/>
  <c r="A1759" i="2"/>
  <c r="L1758" i="2"/>
  <c r="K1758" i="2"/>
  <c r="J1758" i="2"/>
  <c r="I1758" i="2"/>
  <c r="H1758" i="2"/>
  <c r="E1758" i="2"/>
  <c r="D1758" i="2"/>
  <c r="C1758" i="2"/>
  <c r="B1758" i="2"/>
  <c r="A1758" i="2"/>
  <c r="K1757" i="2"/>
  <c r="J1757" i="2"/>
  <c r="I1757" i="2"/>
  <c r="H1757" i="2"/>
  <c r="L1757" i="2" s="1"/>
  <c r="F1757" i="2"/>
  <c r="G1757" i="2" s="1"/>
  <c r="M1757" i="2" s="1"/>
  <c r="E1757" i="2"/>
  <c r="D1757" i="2"/>
  <c r="C1757" i="2"/>
  <c r="B1757" i="2"/>
  <c r="A1757" i="2"/>
  <c r="K1756" i="2"/>
  <c r="J1756" i="2"/>
  <c r="I1756" i="2"/>
  <c r="H1756" i="2"/>
  <c r="G1756" i="2"/>
  <c r="F1756" i="2"/>
  <c r="E1756" i="2"/>
  <c r="D1756" i="2"/>
  <c r="C1756" i="2"/>
  <c r="B1756" i="2"/>
  <c r="A1756" i="2"/>
  <c r="L1755" i="2"/>
  <c r="K1755" i="2"/>
  <c r="J1755" i="2"/>
  <c r="I1755" i="2"/>
  <c r="H1755" i="2"/>
  <c r="E1755" i="2"/>
  <c r="D1755" i="2"/>
  <c r="C1755" i="2"/>
  <c r="F1755" i="2" s="1"/>
  <c r="B1755" i="2"/>
  <c r="A1755" i="2"/>
  <c r="L1754" i="2"/>
  <c r="K1754" i="2"/>
  <c r="J1754" i="2"/>
  <c r="I1754" i="2"/>
  <c r="H1754" i="2"/>
  <c r="F1754" i="2"/>
  <c r="G1754" i="2" s="1"/>
  <c r="M1754" i="2" s="1"/>
  <c r="E1754" i="2"/>
  <c r="D1754" i="2"/>
  <c r="C1754" i="2"/>
  <c r="B1754" i="2"/>
  <c r="A1754" i="2"/>
  <c r="K1753" i="2"/>
  <c r="J1753" i="2"/>
  <c r="I1753" i="2"/>
  <c r="H1753" i="2"/>
  <c r="G1753" i="2"/>
  <c r="F1753" i="2"/>
  <c r="E1753" i="2"/>
  <c r="D1753" i="2"/>
  <c r="C1753" i="2"/>
  <c r="B1753" i="2"/>
  <c r="A1753" i="2"/>
  <c r="L1752" i="2"/>
  <c r="K1752" i="2"/>
  <c r="J1752" i="2"/>
  <c r="I1752" i="2"/>
  <c r="H1752" i="2"/>
  <c r="E1752" i="2"/>
  <c r="D1752" i="2"/>
  <c r="C1752" i="2"/>
  <c r="F1752" i="2" s="1"/>
  <c r="B1752" i="2"/>
  <c r="G1752" i="2" s="1"/>
  <c r="A1752" i="2"/>
  <c r="L1751" i="2"/>
  <c r="K1751" i="2"/>
  <c r="J1751" i="2"/>
  <c r="I1751" i="2"/>
  <c r="H1751" i="2"/>
  <c r="E1751" i="2"/>
  <c r="D1751" i="2"/>
  <c r="C1751" i="2"/>
  <c r="F1751" i="2" s="1"/>
  <c r="B1751" i="2"/>
  <c r="A1751" i="2"/>
  <c r="K1750" i="2"/>
  <c r="J1750" i="2"/>
  <c r="I1750" i="2"/>
  <c r="H1750" i="2"/>
  <c r="L1750" i="2" s="1"/>
  <c r="G1750" i="2"/>
  <c r="M1750" i="2" s="1"/>
  <c r="F1750" i="2"/>
  <c r="E1750" i="2"/>
  <c r="D1750" i="2"/>
  <c r="C1750" i="2"/>
  <c r="B1750" i="2"/>
  <c r="A1750" i="2"/>
  <c r="K1749" i="2"/>
  <c r="J1749" i="2"/>
  <c r="I1749" i="2"/>
  <c r="H1749" i="2"/>
  <c r="E1749" i="2"/>
  <c r="D1749" i="2"/>
  <c r="C1749" i="2"/>
  <c r="F1749" i="2" s="1"/>
  <c r="B1749" i="2"/>
  <c r="A1749" i="2"/>
  <c r="K1748" i="2"/>
  <c r="L1748" i="2" s="1"/>
  <c r="J1748" i="2"/>
  <c r="I1748" i="2"/>
  <c r="H1748" i="2"/>
  <c r="E1748" i="2"/>
  <c r="D1748" i="2"/>
  <c r="C1748" i="2"/>
  <c r="B1748" i="2"/>
  <c r="A1748" i="2"/>
  <c r="K1747" i="2"/>
  <c r="J1747" i="2"/>
  <c r="I1747" i="2"/>
  <c r="H1747" i="2"/>
  <c r="L1747" i="2" s="1"/>
  <c r="E1747" i="2"/>
  <c r="F1747" i="2" s="1"/>
  <c r="G1747" i="2" s="1"/>
  <c r="M1747" i="2" s="1"/>
  <c r="D1747" i="2"/>
  <c r="C1747" i="2"/>
  <c r="B1747" i="2"/>
  <c r="A1747" i="2"/>
  <c r="K1746" i="2"/>
  <c r="J1746" i="2"/>
  <c r="I1746" i="2"/>
  <c r="H1746" i="2"/>
  <c r="G1746" i="2"/>
  <c r="F1746" i="2"/>
  <c r="E1746" i="2"/>
  <c r="D1746" i="2"/>
  <c r="C1746" i="2"/>
  <c r="B1746" i="2"/>
  <c r="A1746" i="2"/>
  <c r="L1745" i="2"/>
  <c r="K1745" i="2"/>
  <c r="J1745" i="2"/>
  <c r="I1745" i="2"/>
  <c r="H1745" i="2"/>
  <c r="E1745" i="2"/>
  <c r="D1745" i="2"/>
  <c r="C1745" i="2"/>
  <c r="F1745" i="2" s="1"/>
  <c r="B1745" i="2"/>
  <c r="G1745" i="2" s="1"/>
  <c r="M1745" i="2" s="1"/>
  <c r="A1745" i="2"/>
  <c r="L1744" i="2"/>
  <c r="K1744" i="2"/>
  <c r="J1744" i="2"/>
  <c r="I1744" i="2"/>
  <c r="H1744" i="2"/>
  <c r="E1744" i="2"/>
  <c r="D1744" i="2"/>
  <c r="F1744" i="2" s="1"/>
  <c r="G1744" i="2" s="1"/>
  <c r="M1744" i="2" s="1"/>
  <c r="C1744" i="2"/>
  <c r="B1744" i="2"/>
  <c r="A1744" i="2"/>
  <c r="K1743" i="2"/>
  <c r="J1743" i="2"/>
  <c r="I1743" i="2"/>
  <c r="H1743" i="2"/>
  <c r="L1743" i="2" s="1"/>
  <c r="G1743" i="2"/>
  <c r="F1743" i="2"/>
  <c r="E1743" i="2"/>
  <c r="D1743" i="2"/>
  <c r="C1743" i="2"/>
  <c r="B1743" i="2"/>
  <c r="A1743" i="2"/>
  <c r="K1742" i="2"/>
  <c r="J1742" i="2"/>
  <c r="I1742" i="2"/>
  <c r="L1742" i="2" s="1"/>
  <c r="H1742" i="2"/>
  <c r="E1742" i="2"/>
  <c r="D1742" i="2"/>
  <c r="C1742" i="2"/>
  <c r="F1742" i="2" s="1"/>
  <c r="B1742" i="2"/>
  <c r="A1742" i="2"/>
  <c r="L1741" i="2"/>
  <c r="K1741" i="2"/>
  <c r="J1741" i="2"/>
  <c r="I1741" i="2"/>
  <c r="H1741" i="2"/>
  <c r="E1741" i="2"/>
  <c r="D1741" i="2"/>
  <c r="C1741" i="2"/>
  <c r="B1741" i="2"/>
  <c r="A1741" i="2"/>
  <c r="K1740" i="2"/>
  <c r="J1740" i="2"/>
  <c r="I1740" i="2"/>
  <c r="H1740" i="2"/>
  <c r="E1740" i="2"/>
  <c r="F1740" i="2" s="1"/>
  <c r="G1740" i="2" s="1"/>
  <c r="D1740" i="2"/>
  <c r="C1740" i="2"/>
  <c r="B1740" i="2"/>
  <c r="A1740" i="2"/>
  <c r="L1739" i="2"/>
  <c r="K1739" i="2"/>
  <c r="J1739" i="2"/>
  <c r="I1739" i="2"/>
  <c r="H1739" i="2"/>
  <c r="E1739" i="2"/>
  <c r="D1739" i="2"/>
  <c r="C1739" i="2"/>
  <c r="F1739" i="2" s="1"/>
  <c r="B1739" i="2"/>
  <c r="G1739" i="2" s="1"/>
  <c r="A1739" i="2"/>
  <c r="L1738" i="2"/>
  <c r="K1738" i="2"/>
  <c r="J1738" i="2"/>
  <c r="I1738" i="2"/>
  <c r="H1738" i="2"/>
  <c r="E1738" i="2"/>
  <c r="D1738" i="2"/>
  <c r="C1738" i="2"/>
  <c r="F1738" i="2" s="1"/>
  <c r="B1738" i="2"/>
  <c r="A1738" i="2"/>
  <c r="K1737" i="2"/>
  <c r="J1737" i="2"/>
  <c r="I1737" i="2"/>
  <c r="H1737" i="2"/>
  <c r="L1737" i="2" s="1"/>
  <c r="E1737" i="2"/>
  <c r="D1737" i="2"/>
  <c r="F1737" i="2" s="1"/>
  <c r="G1737" i="2" s="1"/>
  <c r="M1737" i="2" s="1"/>
  <c r="C1737" i="2"/>
  <c r="B1737" i="2"/>
  <c r="A1737" i="2"/>
  <c r="K1736" i="2"/>
  <c r="J1736" i="2"/>
  <c r="I1736" i="2"/>
  <c r="H1736" i="2"/>
  <c r="G1736" i="2"/>
  <c r="F1736" i="2"/>
  <c r="E1736" i="2"/>
  <c r="D1736" i="2"/>
  <c r="C1736" i="2"/>
  <c r="B1736" i="2"/>
  <c r="A1736" i="2"/>
  <c r="K1735" i="2"/>
  <c r="L1735" i="2" s="1"/>
  <c r="J1735" i="2"/>
  <c r="I1735" i="2"/>
  <c r="H1735" i="2"/>
  <c r="E1735" i="2"/>
  <c r="D1735" i="2"/>
  <c r="C1735" i="2"/>
  <c r="B1735" i="2"/>
  <c r="A1735" i="2"/>
  <c r="L1734" i="2"/>
  <c r="K1734" i="2"/>
  <c r="J1734" i="2"/>
  <c r="I1734" i="2"/>
  <c r="H1734" i="2"/>
  <c r="E1734" i="2"/>
  <c r="D1734" i="2"/>
  <c r="F1734" i="2" s="1"/>
  <c r="G1734" i="2" s="1"/>
  <c r="M1734" i="2" s="1"/>
  <c r="C1734" i="2"/>
  <c r="B1734" i="2"/>
  <c r="A1734" i="2"/>
  <c r="K1733" i="2"/>
  <c r="J1733" i="2"/>
  <c r="I1733" i="2"/>
  <c r="H1733" i="2"/>
  <c r="L1733" i="2" s="1"/>
  <c r="E1733" i="2"/>
  <c r="F1733" i="2" s="1"/>
  <c r="G1733" i="2" s="1"/>
  <c r="M1733" i="2" s="1"/>
  <c r="D1733" i="2"/>
  <c r="C1733" i="2"/>
  <c r="B1733" i="2"/>
  <c r="A1733" i="2"/>
  <c r="K1732" i="2"/>
  <c r="J1732" i="2"/>
  <c r="I1732" i="2"/>
  <c r="H1732" i="2"/>
  <c r="E1732" i="2"/>
  <c r="D1732" i="2"/>
  <c r="C1732" i="2"/>
  <c r="F1732" i="2" s="1"/>
  <c r="B1732" i="2"/>
  <c r="G1732" i="2" s="1"/>
  <c r="A1732" i="2"/>
  <c r="L1731" i="2"/>
  <c r="K1731" i="2"/>
  <c r="J1731" i="2"/>
  <c r="I1731" i="2"/>
  <c r="H1731" i="2"/>
  <c r="E1731" i="2"/>
  <c r="D1731" i="2"/>
  <c r="C1731" i="2"/>
  <c r="F1731" i="2" s="1"/>
  <c r="B1731" i="2"/>
  <c r="A1731" i="2"/>
  <c r="K1730" i="2"/>
  <c r="J1730" i="2"/>
  <c r="I1730" i="2"/>
  <c r="H1730" i="2"/>
  <c r="E1730" i="2"/>
  <c r="D1730" i="2"/>
  <c r="F1730" i="2" s="1"/>
  <c r="G1730" i="2" s="1"/>
  <c r="C1730" i="2"/>
  <c r="B1730" i="2"/>
  <c r="A1730" i="2"/>
  <c r="K1729" i="2"/>
  <c r="L1729" i="2" s="1"/>
  <c r="J1729" i="2"/>
  <c r="I1729" i="2"/>
  <c r="H1729" i="2"/>
  <c r="E1729" i="2"/>
  <c r="D1729" i="2"/>
  <c r="C1729" i="2"/>
  <c r="F1729" i="2" s="1"/>
  <c r="B1729" i="2"/>
  <c r="G1729" i="2" s="1"/>
  <c r="A1729" i="2"/>
  <c r="K1728" i="2"/>
  <c r="L1728" i="2" s="1"/>
  <c r="J1728" i="2"/>
  <c r="I1728" i="2"/>
  <c r="H1728" i="2"/>
  <c r="E1728" i="2"/>
  <c r="D1728" i="2"/>
  <c r="C1728" i="2"/>
  <c r="B1728" i="2"/>
  <c r="A1728" i="2"/>
  <c r="K1727" i="2"/>
  <c r="J1727" i="2"/>
  <c r="I1727" i="2"/>
  <c r="H1727" i="2"/>
  <c r="L1727" i="2" s="1"/>
  <c r="F1727" i="2"/>
  <c r="G1727" i="2" s="1"/>
  <c r="M1727" i="2" s="1"/>
  <c r="E1727" i="2"/>
  <c r="D1727" i="2"/>
  <c r="C1727" i="2"/>
  <c r="B1727" i="2"/>
  <c r="A1727" i="2"/>
  <c r="K1726" i="2"/>
  <c r="J1726" i="2"/>
  <c r="I1726" i="2"/>
  <c r="H1726" i="2"/>
  <c r="G1726" i="2"/>
  <c r="F1726" i="2"/>
  <c r="E1726" i="2"/>
  <c r="D1726" i="2"/>
  <c r="C1726" i="2"/>
  <c r="B1726" i="2"/>
  <c r="A1726" i="2"/>
  <c r="K1725" i="2"/>
  <c r="J1725" i="2"/>
  <c r="I1725" i="2"/>
  <c r="L1725" i="2" s="1"/>
  <c r="H1725" i="2"/>
  <c r="E1725" i="2"/>
  <c r="D1725" i="2"/>
  <c r="C1725" i="2"/>
  <c r="F1725" i="2" s="1"/>
  <c r="B1725" i="2"/>
  <c r="A1725" i="2"/>
  <c r="L1724" i="2"/>
  <c r="K1724" i="2"/>
  <c r="J1724" i="2"/>
  <c r="I1724" i="2"/>
  <c r="H1724" i="2"/>
  <c r="E1724" i="2"/>
  <c r="D1724" i="2"/>
  <c r="C1724" i="2"/>
  <c r="F1724" i="2" s="1"/>
  <c r="B1724" i="2"/>
  <c r="G1724" i="2" s="1"/>
  <c r="M1724" i="2" s="1"/>
  <c r="A1724" i="2"/>
  <c r="K1723" i="2"/>
  <c r="J1723" i="2"/>
  <c r="I1723" i="2"/>
  <c r="H1723" i="2"/>
  <c r="E1723" i="2"/>
  <c r="F1723" i="2" s="1"/>
  <c r="G1723" i="2" s="1"/>
  <c r="D1723" i="2"/>
  <c r="C1723" i="2"/>
  <c r="B1723" i="2"/>
  <c r="A1723" i="2"/>
  <c r="L1722" i="2"/>
  <c r="K1722" i="2"/>
  <c r="J1722" i="2"/>
  <c r="I1722" i="2"/>
  <c r="H1722" i="2"/>
  <c r="E1722" i="2"/>
  <c r="D1722" i="2"/>
  <c r="C1722" i="2"/>
  <c r="F1722" i="2" s="1"/>
  <c r="B1722" i="2"/>
  <c r="A1722" i="2"/>
  <c r="K1721" i="2"/>
  <c r="L1721" i="2" s="1"/>
  <c r="J1721" i="2"/>
  <c r="I1721" i="2"/>
  <c r="H1721" i="2"/>
  <c r="E1721" i="2"/>
  <c r="D1721" i="2"/>
  <c r="C1721" i="2"/>
  <c r="B1721" i="2"/>
  <c r="A1721" i="2"/>
  <c r="K1720" i="2"/>
  <c r="J1720" i="2"/>
  <c r="I1720" i="2"/>
  <c r="H1720" i="2"/>
  <c r="L1720" i="2" s="1"/>
  <c r="F1720" i="2"/>
  <c r="G1720" i="2" s="1"/>
  <c r="M1720" i="2" s="1"/>
  <c r="E1720" i="2"/>
  <c r="D1720" i="2"/>
  <c r="C1720" i="2"/>
  <c r="B1720" i="2"/>
  <c r="A1720" i="2"/>
  <c r="K1719" i="2"/>
  <c r="J1719" i="2"/>
  <c r="I1719" i="2"/>
  <c r="H1719" i="2"/>
  <c r="L1719" i="2" s="1"/>
  <c r="G1719" i="2"/>
  <c r="E1719" i="2"/>
  <c r="D1719" i="2"/>
  <c r="C1719" i="2"/>
  <c r="F1719" i="2" s="1"/>
  <c r="B1719" i="2"/>
  <c r="A1719" i="2"/>
  <c r="K1718" i="2"/>
  <c r="J1718" i="2"/>
  <c r="L1718" i="2" s="1"/>
  <c r="I1718" i="2"/>
  <c r="H1718" i="2"/>
  <c r="E1718" i="2"/>
  <c r="D1718" i="2"/>
  <c r="C1718" i="2"/>
  <c r="B1718" i="2"/>
  <c r="A1718" i="2"/>
  <c r="K1717" i="2"/>
  <c r="J1717" i="2"/>
  <c r="I1717" i="2"/>
  <c r="H1717" i="2"/>
  <c r="L1717" i="2" s="1"/>
  <c r="E1717" i="2"/>
  <c r="D1717" i="2"/>
  <c r="C1717" i="2"/>
  <c r="F1717" i="2" s="1"/>
  <c r="G1717" i="2" s="1"/>
  <c r="M1717" i="2" s="1"/>
  <c r="B1717" i="2"/>
  <c r="A1717" i="2"/>
  <c r="K1716" i="2"/>
  <c r="J1716" i="2"/>
  <c r="I1716" i="2"/>
  <c r="H1716" i="2"/>
  <c r="F1716" i="2"/>
  <c r="G1716" i="2" s="1"/>
  <c r="E1716" i="2"/>
  <c r="D1716" i="2"/>
  <c r="C1716" i="2"/>
  <c r="B1716" i="2"/>
  <c r="A1716" i="2"/>
  <c r="K1715" i="2"/>
  <c r="L1715" i="2" s="1"/>
  <c r="J1715" i="2"/>
  <c r="I1715" i="2"/>
  <c r="H1715" i="2"/>
  <c r="E1715" i="2"/>
  <c r="D1715" i="2"/>
  <c r="C1715" i="2"/>
  <c r="B1715" i="2"/>
  <c r="A1715" i="2"/>
  <c r="L1714" i="2"/>
  <c r="K1714" i="2"/>
  <c r="J1714" i="2"/>
  <c r="I1714" i="2"/>
  <c r="H1714" i="2"/>
  <c r="E1714" i="2"/>
  <c r="D1714" i="2"/>
  <c r="C1714" i="2"/>
  <c r="F1714" i="2" s="1"/>
  <c r="B1714" i="2"/>
  <c r="G1714" i="2" s="1"/>
  <c r="M1714" i="2" s="1"/>
  <c r="A1714" i="2"/>
  <c r="K1713" i="2"/>
  <c r="J1713" i="2"/>
  <c r="I1713" i="2"/>
  <c r="H1713" i="2"/>
  <c r="L1713" i="2" s="1"/>
  <c r="F1713" i="2"/>
  <c r="G1713" i="2" s="1"/>
  <c r="M1713" i="2" s="1"/>
  <c r="E1713" i="2"/>
  <c r="D1713" i="2"/>
  <c r="C1713" i="2"/>
  <c r="B1713" i="2"/>
  <c r="A1713" i="2"/>
  <c r="K1712" i="2"/>
  <c r="J1712" i="2"/>
  <c r="I1712" i="2"/>
  <c r="H1712" i="2"/>
  <c r="L1712" i="2" s="1"/>
  <c r="E1712" i="2"/>
  <c r="D1712" i="2"/>
  <c r="C1712" i="2"/>
  <c r="B1712" i="2"/>
  <c r="A1712" i="2"/>
  <c r="L1711" i="2"/>
  <c r="K1711" i="2"/>
  <c r="J1711" i="2"/>
  <c r="I1711" i="2"/>
  <c r="H1711" i="2"/>
  <c r="E1711" i="2"/>
  <c r="D1711" i="2"/>
  <c r="C1711" i="2"/>
  <c r="F1711" i="2" s="1"/>
  <c r="G1711" i="2" s="1"/>
  <c r="M1711" i="2" s="1"/>
  <c r="B1711" i="2"/>
  <c r="A1711" i="2"/>
  <c r="K1710" i="2"/>
  <c r="J1710" i="2"/>
  <c r="I1710" i="2"/>
  <c r="H1710" i="2"/>
  <c r="L1710" i="2" s="1"/>
  <c r="F1710" i="2"/>
  <c r="G1710" i="2" s="1"/>
  <c r="M1710" i="2" s="1"/>
  <c r="E1710" i="2"/>
  <c r="D1710" i="2"/>
  <c r="C1710" i="2"/>
  <c r="B1710" i="2"/>
  <c r="A1710" i="2"/>
  <c r="K1709" i="2"/>
  <c r="L1709" i="2" s="1"/>
  <c r="J1709" i="2"/>
  <c r="I1709" i="2"/>
  <c r="H1709" i="2"/>
  <c r="E1709" i="2"/>
  <c r="D1709" i="2"/>
  <c r="C1709" i="2"/>
  <c r="F1709" i="2" s="1"/>
  <c r="B1709" i="2"/>
  <c r="G1709" i="2" s="1"/>
  <c r="A1709" i="2"/>
  <c r="K1708" i="2"/>
  <c r="L1708" i="2" s="1"/>
  <c r="J1708" i="2"/>
  <c r="I1708" i="2"/>
  <c r="H1708" i="2"/>
  <c r="E1708" i="2"/>
  <c r="D1708" i="2"/>
  <c r="C1708" i="2"/>
  <c r="F1708" i="2" s="1"/>
  <c r="B1708" i="2"/>
  <c r="A1708" i="2"/>
  <c r="K1707" i="2"/>
  <c r="J1707" i="2"/>
  <c r="I1707" i="2"/>
  <c r="H1707" i="2"/>
  <c r="G1707" i="2"/>
  <c r="E1707" i="2"/>
  <c r="D1707" i="2"/>
  <c r="F1707" i="2" s="1"/>
  <c r="C1707" i="2"/>
  <c r="B1707" i="2"/>
  <c r="A1707" i="2"/>
  <c r="K1706" i="2"/>
  <c r="J1706" i="2"/>
  <c r="I1706" i="2"/>
  <c r="H1706" i="2"/>
  <c r="F1706" i="2"/>
  <c r="G1706" i="2" s="1"/>
  <c r="E1706" i="2"/>
  <c r="D1706" i="2"/>
  <c r="C1706" i="2"/>
  <c r="B1706" i="2"/>
  <c r="A1706" i="2"/>
  <c r="L1705" i="2"/>
  <c r="K1705" i="2"/>
  <c r="J1705" i="2"/>
  <c r="I1705" i="2"/>
  <c r="H1705" i="2"/>
  <c r="E1705" i="2"/>
  <c r="D1705" i="2"/>
  <c r="C1705" i="2"/>
  <c r="B1705" i="2"/>
  <c r="A1705" i="2"/>
  <c r="M1704" i="2"/>
  <c r="L1704" i="2"/>
  <c r="K1704" i="2"/>
  <c r="J1704" i="2"/>
  <c r="I1704" i="2"/>
  <c r="H1704" i="2"/>
  <c r="E1704" i="2"/>
  <c r="D1704" i="2"/>
  <c r="C1704" i="2"/>
  <c r="F1704" i="2" s="1"/>
  <c r="B1704" i="2"/>
  <c r="G1704" i="2" s="1"/>
  <c r="A1704" i="2"/>
  <c r="K1703" i="2"/>
  <c r="J1703" i="2"/>
  <c r="I1703" i="2"/>
  <c r="H1703" i="2"/>
  <c r="F1703" i="2"/>
  <c r="G1703" i="2" s="1"/>
  <c r="E1703" i="2"/>
  <c r="D1703" i="2"/>
  <c r="C1703" i="2"/>
  <c r="B1703" i="2"/>
  <c r="A1703" i="2"/>
  <c r="K1702" i="2"/>
  <c r="J1702" i="2"/>
  <c r="I1702" i="2"/>
  <c r="L1702" i="2" s="1"/>
  <c r="H1702" i="2"/>
  <c r="E1702" i="2"/>
  <c r="D1702" i="2"/>
  <c r="C1702" i="2"/>
  <c r="B1702" i="2"/>
  <c r="A1702" i="2"/>
  <c r="K1701" i="2"/>
  <c r="L1701" i="2" s="1"/>
  <c r="J1701" i="2"/>
  <c r="I1701" i="2"/>
  <c r="H1701" i="2"/>
  <c r="E1701" i="2"/>
  <c r="F1701" i="2" s="1"/>
  <c r="G1701" i="2" s="1"/>
  <c r="M1701" i="2" s="1"/>
  <c r="D1701" i="2"/>
  <c r="C1701" i="2"/>
  <c r="B1701" i="2"/>
  <c r="A1701" i="2"/>
  <c r="K1700" i="2"/>
  <c r="J1700" i="2"/>
  <c r="I1700" i="2"/>
  <c r="H1700" i="2"/>
  <c r="F1700" i="2"/>
  <c r="G1700" i="2" s="1"/>
  <c r="E1700" i="2"/>
  <c r="D1700" i="2"/>
  <c r="C1700" i="2"/>
  <c r="B1700" i="2"/>
  <c r="A1700" i="2"/>
  <c r="L1699" i="2"/>
  <c r="K1699" i="2"/>
  <c r="J1699" i="2"/>
  <c r="I1699" i="2"/>
  <c r="H1699" i="2"/>
  <c r="E1699" i="2"/>
  <c r="D1699" i="2"/>
  <c r="C1699" i="2"/>
  <c r="F1699" i="2" s="1"/>
  <c r="G1699" i="2" s="1"/>
  <c r="B1699" i="2"/>
  <c r="A1699" i="2"/>
  <c r="K1698" i="2"/>
  <c r="L1698" i="2" s="1"/>
  <c r="J1698" i="2"/>
  <c r="I1698" i="2"/>
  <c r="H1698" i="2"/>
  <c r="E1698" i="2"/>
  <c r="D1698" i="2"/>
  <c r="C1698" i="2"/>
  <c r="F1698" i="2" s="1"/>
  <c r="B1698" i="2"/>
  <c r="A1698" i="2"/>
  <c r="K1697" i="2"/>
  <c r="J1697" i="2"/>
  <c r="I1697" i="2"/>
  <c r="H1697" i="2"/>
  <c r="L1697" i="2" s="1"/>
  <c r="E1697" i="2"/>
  <c r="D1697" i="2"/>
  <c r="C1697" i="2"/>
  <c r="F1697" i="2" s="1"/>
  <c r="G1697" i="2" s="1"/>
  <c r="M1697" i="2" s="1"/>
  <c r="B1697" i="2"/>
  <c r="A1697" i="2"/>
  <c r="K1696" i="2"/>
  <c r="J1696" i="2"/>
  <c r="I1696" i="2"/>
  <c r="H1696" i="2"/>
  <c r="L1696" i="2" s="1"/>
  <c r="G1696" i="2"/>
  <c r="M1696" i="2" s="1"/>
  <c r="F1696" i="2"/>
  <c r="E1696" i="2"/>
  <c r="D1696" i="2"/>
  <c r="C1696" i="2"/>
  <c r="B1696" i="2"/>
  <c r="A1696" i="2"/>
  <c r="K1695" i="2"/>
  <c r="J1695" i="2"/>
  <c r="I1695" i="2"/>
  <c r="L1695" i="2" s="1"/>
  <c r="H1695" i="2"/>
  <c r="E1695" i="2"/>
  <c r="D1695" i="2"/>
  <c r="C1695" i="2"/>
  <c r="F1695" i="2" s="1"/>
  <c r="B1695" i="2"/>
  <c r="A1695" i="2"/>
  <c r="M1694" i="2"/>
  <c r="L1694" i="2"/>
  <c r="K1694" i="2"/>
  <c r="J1694" i="2"/>
  <c r="I1694" i="2"/>
  <c r="H1694" i="2"/>
  <c r="E1694" i="2"/>
  <c r="D1694" i="2"/>
  <c r="C1694" i="2"/>
  <c r="F1694" i="2" s="1"/>
  <c r="B1694" i="2"/>
  <c r="G1694" i="2" s="1"/>
  <c r="A1694" i="2"/>
  <c r="L1693" i="2"/>
  <c r="K1693" i="2"/>
  <c r="J1693" i="2"/>
  <c r="I1693" i="2"/>
  <c r="H1693" i="2"/>
  <c r="E1693" i="2"/>
  <c r="F1693" i="2" s="1"/>
  <c r="D1693" i="2"/>
  <c r="C1693" i="2"/>
  <c r="B1693" i="2"/>
  <c r="A1693" i="2"/>
  <c r="K1692" i="2"/>
  <c r="J1692" i="2"/>
  <c r="I1692" i="2"/>
  <c r="H1692" i="2"/>
  <c r="L1692" i="2" s="1"/>
  <c r="E1692" i="2"/>
  <c r="D1692" i="2"/>
  <c r="C1692" i="2"/>
  <c r="F1692" i="2" s="1"/>
  <c r="B1692" i="2"/>
  <c r="A1692" i="2"/>
  <c r="K1691" i="2"/>
  <c r="J1691" i="2"/>
  <c r="I1691" i="2"/>
  <c r="H1691" i="2"/>
  <c r="L1691" i="2" s="1"/>
  <c r="F1691" i="2"/>
  <c r="G1691" i="2" s="1"/>
  <c r="M1691" i="2" s="1"/>
  <c r="E1691" i="2"/>
  <c r="D1691" i="2"/>
  <c r="C1691" i="2"/>
  <c r="B1691" i="2"/>
  <c r="A1691" i="2"/>
  <c r="K1690" i="2"/>
  <c r="J1690" i="2"/>
  <c r="I1690" i="2"/>
  <c r="H1690" i="2"/>
  <c r="G1690" i="2"/>
  <c r="E1690" i="2"/>
  <c r="F1690" i="2" s="1"/>
  <c r="D1690" i="2"/>
  <c r="C1690" i="2"/>
  <c r="B1690" i="2"/>
  <c r="A1690" i="2"/>
  <c r="K1689" i="2"/>
  <c r="J1689" i="2"/>
  <c r="L1689" i="2" s="1"/>
  <c r="I1689" i="2"/>
  <c r="H1689" i="2"/>
  <c r="E1689" i="2"/>
  <c r="D1689" i="2"/>
  <c r="C1689" i="2"/>
  <c r="B1689" i="2"/>
  <c r="A1689" i="2"/>
  <c r="L1688" i="2"/>
  <c r="K1688" i="2"/>
  <c r="J1688" i="2"/>
  <c r="I1688" i="2"/>
  <c r="H1688" i="2"/>
  <c r="E1688" i="2"/>
  <c r="D1688" i="2"/>
  <c r="C1688" i="2"/>
  <c r="F1688" i="2" s="1"/>
  <c r="B1688" i="2"/>
  <c r="A1688" i="2"/>
  <c r="K1687" i="2"/>
  <c r="J1687" i="2"/>
  <c r="I1687" i="2"/>
  <c r="H1687" i="2"/>
  <c r="G1687" i="2"/>
  <c r="E1687" i="2"/>
  <c r="D1687" i="2"/>
  <c r="F1687" i="2" s="1"/>
  <c r="C1687" i="2"/>
  <c r="B1687" i="2"/>
  <c r="A1687" i="2"/>
  <c r="K1686" i="2"/>
  <c r="J1686" i="2"/>
  <c r="I1686" i="2"/>
  <c r="H1686" i="2"/>
  <c r="L1686" i="2" s="1"/>
  <c r="E1686" i="2"/>
  <c r="D1686" i="2"/>
  <c r="C1686" i="2"/>
  <c r="F1686" i="2" s="1"/>
  <c r="G1686" i="2" s="1"/>
  <c r="M1686" i="2" s="1"/>
  <c r="B1686" i="2"/>
  <c r="A1686" i="2"/>
  <c r="K1685" i="2"/>
  <c r="J1685" i="2"/>
  <c r="L1685" i="2" s="1"/>
  <c r="I1685" i="2"/>
  <c r="H1685" i="2"/>
  <c r="E1685" i="2"/>
  <c r="D1685" i="2"/>
  <c r="C1685" i="2"/>
  <c r="F1685" i="2" s="1"/>
  <c r="B1685" i="2"/>
  <c r="A1685" i="2"/>
  <c r="L1684" i="2"/>
  <c r="K1684" i="2"/>
  <c r="J1684" i="2"/>
  <c r="I1684" i="2"/>
  <c r="H1684" i="2"/>
  <c r="E1684" i="2"/>
  <c r="D1684" i="2"/>
  <c r="C1684" i="2"/>
  <c r="F1684" i="2" s="1"/>
  <c r="B1684" i="2"/>
  <c r="A1684" i="2"/>
  <c r="K1683" i="2"/>
  <c r="J1683" i="2"/>
  <c r="I1683" i="2"/>
  <c r="L1683" i="2" s="1"/>
  <c r="H1683" i="2"/>
  <c r="G1683" i="2"/>
  <c r="M1683" i="2" s="1"/>
  <c r="F1683" i="2"/>
  <c r="E1683" i="2"/>
  <c r="D1683" i="2"/>
  <c r="C1683" i="2"/>
  <c r="B1683" i="2"/>
  <c r="A1683" i="2"/>
  <c r="K1682" i="2"/>
  <c r="J1682" i="2"/>
  <c r="I1682" i="2"/>
  <c r="H1682" i="2"/>
  <c r="L1682" i="2" s="1"/>
  <c r="E1682" i="2"/>
  <c r="D1682" i="2"/>
  <c r="C1682" i="2"/>
  <c r="B1682" i="2"/>
  <c r="A1682" i="2"/>
  <c r="K1681" i="2"/>
  <c r="J1681" i="2"/>
  <c r="I1681" i="2"/>
  <c r="H1681" i="2"/>
  <c r="L1681" i="2" s="1"/>
  <c r="E1681" i="2"/>
  <c r="D1681" i="2"/>
  <c r="C1681" i="2"/>
  <c r="F1681" i="2" s="1"/>
  <c r="B1681" i="2"/>
  <c r="G1681" i="2" s="1"/>
  <c r="M1681" i="2" s="1"/>
  <c r="A1681" i="2"/>
  <c r="K1680" i="2"/>
  <c r="J1680" i="2"/>
  <c r="I1680" i="2"/>
  <c r="H1680" i="2"/>
  <c r="E1680" i="2"/>
  <c r="D1680" i="2"/>
  <c r="F1680" i="2" s="1"/>
  <c r="G1680" i="2" s="1"/>
  <c r="C1680" i="2"/>
  <c r="B1680" i="2"/>
  <c r="A1680" i="2"/>
  <c r="L1679" i="2"/>
  <c r="K1679" i="2"/>
  <c r="J1679" i="2"/>
  <c r="I1679" i="2"/>
  <c r="H1679" i="2"/>
  <c r="E1679" i="2"/>
  <c r="D1679" i="2"/>
  <c r="C1679" i="2"/>
  <c r="B1679" i="2"/>
  <c r="A1679" i="2"/>
  <c r="L1678" i="2"/>
  <c r="K1678" i="2"/>
  <c r="J1678" i="2"/>
  <c r="I1678" i="2"/>
  <c r="H1678" i="2"/>
  <c r="F1678" i="2"/>
  <c r="G1678" i="2" s="1"/>
  <c r="M1678" i="2" s="1"/>
  <c r="E1678" i="2"/>
  <c r="D1678" i="2"/>
  <c r="C1678" i="2"/>
  <c r="B1678" i="2"/>
  <c r="A1678" i="2"/>
  <c r="K1677" i="2"/>
  <c r="J1677" i="2"/>
  <c r="I1677" i="2"/>
  <c r="H1677" i="2"/>
  <c r="L1677" i="2" s="1"/>
  <c r="F1677" i="2"/>
  <c r="G1677" i="2" s="1"/>
  <c r="M1677" i="2" s="1"/>
  <c r="E1677" i="2"/>
  <c r="D1677" i="2"/>
  <c r="C1677" i="2"/>
  <c r="B1677" i="2"/>
  <c r="A1677" i="2"/>
  <c r="K1676" i="2"/>
  <c r="J1676" i="2"/>
  <c r="I1676" i="2"/>
  <c r="L1676" i="2" s="1"/>
  <c r="H1676" i="2"/>
  <c r="E1676" i="2"/>
  <c r="D1676" i="2"/>
  <c r="C1676" i="2"/>
  <c r="F1676" i="2" s="1"/>
  <c r="B1676" i="2"/>
  <c r="A1676" i="2"/>
  <c r="L1675" i="2"/>
  <c r="K1675" i="2"/>
  <c r="J1675" i="2"/>
  <c r="I1675" i="2"/>
  <c r="H1675" i="2"/>
  <c r="E1675" i="2"/>
  <c r="D1675" i="2"/>
  <c r="C1675" i="2"/>
  <c r="F1675" i="2" s="1"/>
  <c r="B1675" i="2"/>
  <c r="A1675" i="2"/>
  <c r="K1674" i="2"/>
  <c r="J1674" i="2"/>
  <c r="I1674" i="2"/>
  <c r="H1674" i="2"/>
  <c r="L1674" i="2" s="1"/>
  <c r="G1674" i="2"/>
  <c r="M1674" i="2" s="1"/>
  <c r="E1674" i="2"/>
  <c r="F1674" i="2" s="1"/>
  <c r="D1674" i="2"/>
  <c r="C1674" i="2"/>
  <c r="B1674" i="2"/>
  <c r="A1674" i="2"/>
  <c r="K1673" i="2"/>
  <c r="J1673" i="2"/>
  <c r="I1673" i="2"/>
  <c r="H1673" i="2"/>
  <c r="L1673" i="2" s="1"/>
  <c r="E1673" i="2"/>
  <c r="D1673" i="2"/>
  <c r="C1673" i="2"/>
  <c r="F1673" i="2" s="1"/>
  <c r="B1673" i="2"/>
  <c r="G1673" i="2" s="1"/>
  <c r="M1673" i="2" s="1"/>
  <c r="A1673" i="2"/>
  <c r="K1672" i="2"/>
  <c r="L1672" i="2" s="1"/>
  <c r="J1672" i="2"/>
  <c r="I1672" i="2"/>
  <c r="H1672" i="2"/>
  <c r="E1672" i="2"/>
  <c r="D1672" i="2"/>
  <c r="C1672" i="2"/>
  <c r="F1672" i="2" s="1"/>
  <c r="B1672" i="2"/>
  <c r="G1672" i="2" s="1"/>
  <c r="M1672" i="2" s="1"/>
  <c r="A1672" i="2"/>
  <c r="K1671" i="2"/>
  <c r="J1671" i="2"/>
  <c r="I1671" i="2"/>
  <c r="H1671" i="2"/>
  <c r="L1671" i="2" s="1"/>
  <c r="E1671" i="2"/>
  <c r="D1671" i="2"/>
  <c r="C1671" i="2"/>
  <c r="F1671" i="2" s="1"/>
  <c r="B1671" i="2"/>
  <c r="A1671" i="2"/>
  <c r="K1670" i="2"/>
  <c r="J1670" i="2"/>
  <c r="I1670" i="2"/>
  <c r="H1670" i="2"/>
  <c r="L1670" i="2" s="1"/>
  <c r="G1670" i="2"/>
  <c r="M1670" i="2" s="1"/>
  <c r="E1670" i="2"/>
  <c r="F1670" i="2" s="1"/>
  <c r="D1670" i="2"/>
  <c r="C1670" i="2"/>
  <c r="B1670" i="2"/>
  <c r="A1670" i="2"/>
  <c r="K1669" i="2"/>
  <c r="J1669" i="2"/>
  <c r="I1669" i="2"/>
  <c r="H1669" i="2"/>
  <c r="L1669" i="2" s="1"/>
  <c r="E1669" i="2"/>
  <c r="D1669" i="2"/>
  <c r="C1669" i="2"/>
  <c r="B1669" i="2"/>
  <c r="A1669" i="2"/>
  <c r="L1668" i="2"/>
  <c r="K1668" i="2"/>
  <c r="J1668" i="2"/>
  <c r="I1668" i="2"/>
  <c r="H1668" i="2"/>
  <c r="E1668" i="2"/>
  <c r="D1668" i="2"/>
  <c r="C1668" i="2"/>
  <c r="F1668" i="2" s="1"/>
  <c r="B1668" i="2"/>
  <c r="A1668" i="2"/>
  <c r="K1667" i="2"/>
  <c r="J1667" i="2"/>
  <c r="I1667" i="2"/>
  <c r="H1667" i="2"/>
  <c r="E1667" i="2"/>
  <c r="D1667" i="2"/>
  <c r="C1667" i="2"/>
  <c r="F1667" i="2" s="1"/>
  <c r="G1667" i="2" s="1"/>
  <c r="B1667" i="2"/>
  <c r="A1667" i="2"/>
  <c r="K1666" i="2"/>
  <c r="J1666" i="2"/>
  <c r="I1666" i="2"/>
  <c r="H1666" i="2"/>
  <c r="L1666" i="2" s="1"/>
  <c r="G1666" i="2"/>
  <c r="M1666" i="2" s="1"/>
  <c r="F1666" i="2"/>
  <c r="E1666" i="2"/>
  <c r="D1666" i="2"/>
  <c r="C1666" i="2"/>
  <c r="B1666" i="2"/>
  <c r="A1666" i="2"/>
  <c r="K1665" i="2"/>
  <c r="J1665" i="2"/>
  <c r="I1665" i="2"/>
  <c r="L1665" i="2" s="1"/>
  <c r="H1665" i="2"/>
  <c r="E1665" i="2"/>
  <c r="D1665" i="2"/>
  <c r="C1665" i="2"/>
  <c r="F1665" i="2" s="1"/>
  <c r="G1665" i="2" s="1"/>
  <c r="M1665" i="2" s="1"/>
  <c r="B1665" i="2"/>
  <c r="A1665" i="2"/>
  <c r="L1664" i="2"/>
  <c r="K1664" i="2"/>
  <c r="J1664" i="2"/>
  <c r="I1664" i="2"/>
  <c r="H1664" i="2"/>
  <c r="E1664" i="2"/>
  <c r="D1664" i="2"/>
  <c r="C1664" i="2"/>
  <c r="B1664" i="2"/>
  <c r="A1664" i="2"/>
  <c r="K1663" i="2"/>
  <c r="J1663" i="2"/>
  <c r="I1663" i="2"/>
  <c r="L1663" i="2" s="1"/>
  <c r="H1663" i="2"/>
  <c r="G1663" i="2"/>
  <c r="M1663" i="2" s="1"/>
  <c r="F1663" i="2"/>
  <c r="E1663" i="2"/>
  <c r="D1663" i="2"/>
  <c r="C1663" i="2"/>
  <c r="B1663" i="2"/>
  <c r="A1663" i="2"/>
  <c r="K1662" i="2"/>
  <c r="J1662" i="2"/>
  <c r="I1662" i="2"/>
  <c r="H1662" i="2"/>
  <c r="F1662" i="2"/>
  <c r="E1662" i="2"/>
  <c r="D1662" i="2"/>
  <c r="C1662" i="2"/>
  <c r="B1662" i="2"/>
  <c r="A1662" i="2"/>
  <c r="K1661" i="2"/>
  <c r="J1661" i="2"/>
  <c r="I1661" i="2"/>
  <c r="L1661" i="2" s="1"/>
  <c r="H1661" i="2"/>
  <c r="E1661" i="2"/>
  <c r="D1661" i="2"/>
  <c r="C1661" i="2"/>
  <c r="F1661" i="2" s="1"/>
  <c r="B1661" i="2"/>
  <c r="G1661" i="2" s="1"/>
  <c r="A1661" i="2"/>
  <c r="K1660" i="2"/>
  <c r="L1660" i="2" s="1"/>
  <c r="J1660" i="2"/>
  <c r="I1660" i="2"/>
  <c r="H1660" i="2"/>
  <c r="E1660" i="2"/>
  <c r="D1660" i="2"/>
  <c r="F1660" i="2" s="1"/>
  <c r="C1660" i="2"/>
  <c r="B1660" i="2"/>
  <c r="A1660" i="2"/>
  <c r="K1659" i="2"/>
  <c r="J1659" i="2"/>
  <c r="I1659" i="2"/>
  <c r="L1659" i="2" s="1"/>
  <c r="H1659" i="2"/>
  <c r="E1659" i="2"/>
  <c r="D1659" i="2"/>
  <c r="C1659" i="2"/>
  <c r="B1659" i="2"/>
  <c r="A1659" i="2"/>
  <c r="K1658" i="2"/>
  <c r="J1658" i="2"/>
  <c r="I1658" i="2"/>
  <c r="H1658" i="2"/>
  <c r="L1658" i="2" s="1"/>
  <c r="F1658" i="2"/>
  <c r="G1658" i="2" s="1"/>
  <c r="E1658" i="2"/>
  <c r="D1658" i="2"/>
  <c r="C1658" i="2"/>
  <c r="B1658" i="2"/>
  <c r="A1658" i="2"/>
  <c r="K1657" i="2"/>
  <c r="J1657" i="2"/>
  <c r="I1657" i="2"/>
  <c r="H1657" i="2"/>
  <c r="L1657" i="2" s="1"/>
  <c r="E1657" i="2"/>
  <c r="D1657" i="2"/>
  <c r="C1657" i="2"/>
  <c r="F1657" i="2" s="1"/>
  <c r="G1657" i="2" s="1"/>
  <c r="M1657" i="2" s="1"/>
  <c r="B1657" i="2"/>
  <c r="A1657" i="2"/>
  <c r="K1656" i="2"/>
  <c r="L1656" i="2" s="1"/>
  <c r="J1656" i="2"/>
  <c r="I1656" i="2"/>
  <c r="H1656" i="2"/>
  <c r="E1656" i="2"/>
  <c r="D1656" i="2"/>
  <c r="C1656" i="2"/>
  <c r="F1656" i="2" s="1"/>
  <c r="B1656" i="2"/>
  <c r="A1656" i="2"/>
  <c r="K1655" i="2"/>
  <c r="J1655" i="2"/>
  <c r="I1655" i="2"/>
  <c r="L1655" i="2" s="1"/>
  <c r="H1655" i="2"/>
  <c r="E1655" i="2"/>
  <c r="D1655" i="2"/>
  <c r="F1655" i="2" s="1"/>
  <c r="G1655" i="2" s="1"/>
  <c r="M1655" i="2" s="1"/>
  <c r="C1655" i="2"/>
  <c r="B1655" i="2"/>
  <c r="A1655" i="2"/>
  <c r="K1654" i="2"/>
  <c r="J1654" i="2"/>
  <c r="I1654" i="2"/>
  <c r="H1654" i="2"/>
  <c r="L1654" i="2" s="1"/>
  <c r="G1654" i="2"/>
  <c r="E1654" i="2"/>
  <c r="D1654" i="2"/>
  <c r="C1654" i="2"/>
  <c r="F1654" i="2" s="1"/>
  <c r="B1654" i="2"/>
  <c r="A1654" i="2"/>
  <c r="K1653" i="2"/>
  <c r="J1653" i="2"/>
  <c r="L1653" i="2" s="1"/>
  <c r="I1653" i="2"/>
  <c r="H1653" i="2"/>
  <c r="E1653" i="2"/>
  <c r="D1653" i="2"/>
  <c r="C1653" i="2"/>
  <c r="F1653" i="2" s="1"/>
  <c r="B1653" i="2"/>
  <c r="G1653" i="2" s="1"/>
  <c r="A1653" i="2"/>
  <c r="K1652" i="2"/>
  <c r="J1652" i="2"/>
  <c r="I1652" i="2"/>
  <c r="H1652" i="2"/>
  <c r="L1652" i="2" s="1"/>
  <c r="E1652" i="2"/>
  <c r="D1652" i="2"/>
  <c r="C1652" i="2"/>
  <c r="B1652" i="2"/>
  <c r="A1652" i="2"/>
  <c r="K1651" i="2"/>
  <c r="J1651" i="2"/>
  <c r="I1651" i="2"/>
  <c r="H1651" i="2"/>
  <c r="L1651" i="2" s="1"/>
  <c r="E1651" i="2"/>
  <c r="F1651" i="2" s="1"/>
  <c r="G1651" i="2" s="1"/>
  <c r="M1651" i="2" s="1"/>
  <c r="D1651" i="2"/>
  <c r="C1651" i="2"/>
  <c r="B1651" i="2"/>
  <c r="A1651" i="2"/>
  <c r="K1650" i="2"/>
  <c r="J1650" i="2"/>
  <c r="I1650" i="2"/>
  <c r="H1650" i="2"/>
  <c r="L1650" i="2" s="1"/>
  <c r="E1650" i="2"/>
  <c r="D1650" i="2"/>
  <c r="C1650" i="2"/>
  <c r="F1650" i="2" s="1"/>
  <c r="G1650" i="2" s="1"/>
  <c r="B1650" i="2"/>
  <c r="A1650" i="2"/>
  <c r="K1649" i="2"/>
  <c r="L1649" i="2" s="1"/>
  <c r="J1649" i="2"/>
  <c r="I1649" i="2"/>
  <c r="H1649" i="2"/>
  <c r="E1649" i="2"/>
  <c r="D1649" i="2"/>
  <c r="C1649" i="2"/>
  <c r="B1649" i="2"/>
  <c r="A1649" i="2"/>
  <c r="K1648" i="2"/>
  <c r="J1648" i="2"/>
  <c r="I1648" i="2"/>
  <c r="L1648" i="2" s="1"/>
  <c r="H1648" i="2"/>
  <c r="G1648" i="2"/>
  <c r="M1648" i="2" s="1"/>
  <c r="F1648" i="2"/>
  <c r="E1648" i="2"/>
  <c r="D1648" i="2"/>
  <c r="C1648" i="2"/>
  <c r="B1648" i="2"/>
  <c r="A1648" i="2"/>
  <c r="K1647" i="2"/>
  <c r="J1647" i="2"/>
  <c r="I1647" i="2"/>
  <c r="H1647" i="2"/>
  <c r="G1647" i="2"/>
  <c r="E1647" i="2"/>
  <c r="D1647" i="2"/>
  <c r="C1647" i="2"/>
  <c r="F1647" i="2" s="1"/>
  <c r="B1647" i="2"/>
  <c r="A1647" i="2"/>
  <c r="K1646" i="2"/>
  <c r="J1646" i="2"/>
  <c r="L1646" i="2" s="1"/>
  <c r="I1646" i="2"/>
  <c r="H1646" i="2"/>
  <c r="E1646" i="2"/>
  <c r="D1646" i="2"/>
  <c r="C1646" i="2"/>
  <c r="F1646" i="2" s="1"/>
  <c r="B1646" i="2"/>
  <c r="A1646" i="2"/>
  <c r="K1645" i="2"/>
  <c r="J1645" i="2"/>
  <c r="I1645" i="2"/>
  <c r="H1645" i="2"/>
  <c r="L1645" i="2" s="1"/>
  <c r="E1645" i="2"/>
  <c r="D1645" i="2"/>
  <c r="C1645" i="2"/>
  <c r="F1645" i="2" s="1"/>
  <c r="B1645" i="2"/>
  <c r="A1645" i="2"/>
  <c r="K1644" i="2"/>
  <c r="J1644" i="2"/>
  <c r="I1644" i="2"/>
  <c r="H1644" i="2"/>
  <c r="L1644" i="2" s="1"/>
  <c r="F1644" i="2"/>
  <c r="G1644" i="2" s="1"/>
  <c r="E1644" i="2"/>
  <c r="D1644" i="2"/>
  <c r="C1644" i="2"/>
  <c r="B1644" i="2"/>
  <c r="A1644" i="2"/>
  <c r="K1643" i="2"/>
  <c r="J1643" i="2"/>
  <c r="I1643" i="2"/>
  <c r="L1643" i="2" s="1"/>
  <c r="H1643" i="2"/>
  <c r="E1643" i="2"/>
  <c r="D1643" i="2"/>
  <c r="C1643" i="2"/>
  <c r="F1643" i="2" s="1"/>
  <c r="B1643" i="2"/>
  <c r="G1643" i="2" s="1"/>
  <c r="A1643" i="2"/>
  <c r="L1642" i="2"/>
  <c r="K1642" i="2"/>
  <c r="J1642" i="2"/>
  <c r="I1642" i="2"/>
  <c r="H1642" i="2"/>
  <c r="E1642" i="2"/>
  <c r="D1642" i="2"/>
  <c r="C1642" i="2"/>
  <c r="B1642" i="2"/>
  <c r="A1642" i="2"/>
  <c r="K1641" i="2"/>
  <c r="J1641" i="2"/>
  <c r="I1641" i="2"/>
  <c r="H1641" i="2"/>
  <c r="L1641" i="2" s="1"/>
  <c r="E1641" i="2"/>
  <c r="F1641" i="2" s="1"/>
  <c r="G1641" i="2" s="1"/>
  <c r="D1641" i="2"/>
  <c r="C1641" i="2"/>
  <c r="B1641" i="2"/>
  <c r="A1641" i="2"/>
  <c r="K1640" i="2"/>
  <c r="J1640" i="2"/>
  <c r="I1640" i="2"/>
  <c r="H1640" i="2"/>
  <c r="L1640" i="2" s="1"/>
  <c r="E1640" i="2"/>
  <c r="D1640" i="2"/>
  <c r="C1640" i="2"/>
  <c r="F1640" i="2" s="1"/>
  <c r="G1640" i="2" s="1"/>
  <c r="B1640" i="2"/>
  <c r="A1640" i="2"/>
  <c r="K1639" i="2"/>
  <c r="L1639" i="2" s="1"/>
  <c r="J1639" i="2"/>
  <c r="I1639" i="2"/>
  <c r="H1639" i="2"/>
  <c r="E1639" i="2"/>
  <c r="D1639" i="2"/>
  <c r="C1639" i="2"/>
  <c r="F1639" i="2" s="1"/>
  <c r="B1639" i="2"/>
  <c r="A1639" i="2"/>
  <c r="K1638" i="2"/>
  <c r="J1638" i="2"/>
  <c r="I1638" i="2"/>
  <c r="L1638" i="2" s="1"/>
  <c r="H1638" i="2"/>
  <c r="E1638" i="2"/>
  <c r="D1638" i="2"/>
  <c r="F1638" i="2" s="1"/>
  <c r="G1638" i="2" s="1"/>
  <c r="M1638" i="2" s="1"/>
  <c r="C1638" i="2"/>
  <c r="B1638" i="2"/>
  <c r="A1638" i="2"/>
  <c r="K1637" i="2"/>
  <c r="J1637" i="2"/>
  <c r="I1637" i="2"/>
  <c r="H1637" i="2"/>
  <c r="L1637" i="2" s="1"/>
  <c r="E1637" i="2"/>
  <c r="D1637" i="2"/>
  <c r="C1637" i="2"/>
  <c r="F1637" i="2" s="1"/>
  <c r="G1637" i="2" s="1"/>
  <c r="B1637" i="2"/>
  <c r="A1637" i="2"/>
  <c r="K1636" i="2"/>
  <c r="J1636" i="2"/>
  <c r="L1636" i="2" s="1"/>
  <c r="M1636" i="2" s="1"/>
  <c r="I1636" i="2"/>
  <c r="H1636" i="2"/>
  <c r="E1636" i="2"/>
  <c r="D1636" i="2"/>
  <c r="C1636" i="2"/>
  <c r="F1636" i="2" s="1"/>
  <c r="B1636" i="2"/>
  <c r="G1636" i="2" s="1"/>
  <c r="A1636" i="2"/>
  <c r="K1635" i="2"/>
  <c r="J1635" i="2"/>
  <c r="I1635" i="2"/>
  <c r="H1635" i="2"/>
  <c r="L1635" i="2" s="1"/>
  <c r="F1635" i="2"/>
  <c r="E1635" i="2"/>
  <c r="D1635" i="2"/>
  <c r="C1635" i="2"/>
  <c r="B1635" i="2"/>
  <c r="G1635" i="2" s="1"/>
  <c r="M1635" i="2" s="1"/>
  <c r="A1635" i="2"/>
  <c r="K1634" i="2"/>
  <c r="J1634" i="2"/>
  <c r="I1634" i="2"/>
  <c r="H1634" i="2"/>
  <c r="L1634" i="2" s="1"/>
  <c r="F1634" i="2"/>
  <c r="G1634" i="2" s="1"/>
  <c r="M1634" i="2" s="1"/>
  <c r="E1634" i="2"/>
  <c r="D1634" i="2"/>
  <c r="C1634" i="2"/>
  <c r="B1634" i="2"/>
  <c r="A1634" i="2"/>
  <c r="K1633" i="2"/>
  <c r="L1633" i="2" s="1"/>
  <c r="J1633" i="2"/>
  <c r="I1633" i="2"/>
  <c r="H1633" i="2"/>
  <c r="E1633" i="2"/>
  <c r="D1633" i="2"/>
  <c r="C1633" i="2"/>
  <c r="F1633" i="2" s="1"/>
  <c r="B1633" i="2"/>
  <c r="G1633" i="2" s="1"/>
  <c r="A1633" i="2"/>
  <c r="L1632" i="2"/>
  <c r="K1632" i="2"/>
  <c r="J1632" i="2"/>
  <c r="I1632" i="2"/>
  <c r="H1632" i="2"/>
  <c r="E1632" i="2"/>
  <c r="D1632" i="2"/>
  <c r="C1632" i="2"/>
  <c r="F1632" i="2" s="1"/>
  <c r="B1632" i="2"/>
  <c r="G1632" i="2" s="1"/>
  <c r="M1632" i="2" s="1"/>
  <c r="A1632" i="2"/>
  <c r="K1631" i="2"/>
  <c r="J1631" i="2"/>
  <c r="I1631" i="2"/>
  <c r="H1631" i="2"/>
  <c r="L1631" i="2" s="1"/>
  <c r="G1631" i="2"/>
  <c r="M1631" i="2" s="1"/>
  <c r="E1631" i="2"/>
  <c r="F1631" i="2" s="1"/>
  <c r="D1631" i="2"/>
  <c r="C1631" i="2"/>
  <c r="B1631" i="2"/>
  <c r="A1631" i="2"/>
  <c r="K1630" i="2"/>
  <c r="J1630" i="2"/>
  <c r="I1630" i="2"/>
  <c r="H1630" i="2"/>
  <c r="E1630" i="2"/>
  <c r="D1630" i="2"/>
  <c r="C1630" i="2"/>
  <c r="F1630" i="2" s="1"/>
  <c r="G1630" i="2" s="1"/>
  <c r="B1630" i="2"/>
  <c r="A1630" i="2"/>
  <c r="M1629" i="2"/>
  <c r="K1629" i="2"/>
  <c r="L1629" i="2" s="1"/>
  <c r="J1629" i="2"/>
  <c r="I1629" i="2"/>
  <c r="H1629" i="2"/>
  <c r="E1629" i="2"/>
  <c r="D1629" i="2"/>
  <c r="C1629" i="2"/>
  <c r="F1629" i="2" s="1"/>
  <c r="B1629" i="2"/>
  <c r="G1629" i="2" s="1"/>
  <c r="A1629" i="2"/>
  <c r="K1628" i="2"/>
  <c r="J1628" i="2"/>
  <c r="I1628" i="2"/>
  <c r="L1628" i="2" s="1"/>
  <c r="H1628" i="2"/>
  <c r="F1628" i="2"/>
  <c r="G1628" i="2" s="1"/>
  <c r="M1628" i="2" s="1"/>
  <c r="E1628" i="2"/>
  <c r="D1628" i="2"/>
  <c r="C1628" i="2"/>
  <c r="B1628" i="2"/>
  <c r="A1628" i="2"/>
  <c r="K1627" i="2"/>
  <c r="J1627" i="2"/>
  <c r="I1627" i="2"/>
  <c r="H1627" i="2"/>
  <c r="G1627" i="2"/>
  <c r="E1627" i="2"/>
  <c r="D1627" i="2"/>
  <c r="C1627" i="2"/>
  <c r="F1627" i="2" s="1"/>
  <c r="B1627" i="2"/>
  <c r="A1627" i="2"/>
  <c r="L1626" i="2"/>
  <c r="K1626" i="2"/>
  <c r="J1626" i="2"/>
  <c r="I1626" i="2"/>
  <c r="H1626" i="2"/>
  <c r="E1626" i="2"/>
  <c r="D1626" i="2"/>
  <c r="C1626" i="2"/>
  <c r="F1626" i="2" s="1"/>
  <c r="B1626" i="2"/>
  <c r="A1626" i="2"/>
  <c r="K1625" i="2"/>
  <c r="J1625" i="2"/>
  <c r="I1625" i="2"/>
  <c r="H1625" i="2"/>
  <c r="L1625" i="2" s="1"/>
  <c r="E1625" i="2"/>
  <c r="D1625" i="2"/>
  <c r="C1625" i="2"/>
  <c r="F1625" i="2" s="1"/>
  <c r="B1625" i="2"/>
  <c r="A1625" i="2"/>
  <c r="K1624" i="2"/>
  <c r="J1624" i="2"/>
  <c r="I1624" i="2"/>
  <c r="H1624" i="2"/>
  <c r="F1624" i="2"/>
  <c r="G1624" i="2" s="1"/>
  <c r="E1624" i="2"/>
  <c r="D1624" i="2"/>
  <c r="C1624" i="2"/>
  <c r="B1624" i="2"/>
  <c r="A1624" i="2"/>
  <c r="K1623" i="2"/>
  <c r="J1623" i="2"/>
  <c r="I1623" i="2"/>
  <c r="L1623" i="2" s="1"/>
  <c r="H1623" i="2"/>
  <c r="E1623" i="2"/>
  <c r="D1623" i="2"/>
  <c r="C1623" i="2"/>
  <c r="F1623" i="2" s="1"/>
  <c r="B1623" i="2"/>
  <c r="A1623" i="2"/>
  <c r="L1622" i="2"/>
  <c r="K1622" i="2"/>
  <c r="J1622" i="2"/>
  <c r="I1622" i="2"/>
  <c r="H1622" i="2"/>
  <c r="E1622" i="2"/>
  <c r="D1622" i="2"/>
  <c r="C1622" i="2"/>
  <c r="B1622" i="2"/>
  <c r="A1622" i="2"/>
  <c r="K1621" i="2"/>
  <c r="J1621" i="2"/>
  <c r="I1621" i="2"/>
  <c r="H1621" i="2"/>
  <c r="L1621" i="2" s="1"/>
  <c r="E1621" i="2"/>
  <c r="F1621" i="2" s="1"/>
  <c r="G1621" i="2" s="1"/>
  <c r="M1621" i="2" s="1"/>
  <c r="D1621" i="2"/>
  <c r="C1621" i="2"/>
  <c r="B1621" i="2"/>
  <c r="A1621" i="2"/>
  <c r="K1620" i="2"/>
  <c r="J1620" i="2"/>
  <c r="I1620" i="2"/>
  <c r="H1620" i="2"/>
  <c r="E1620" i="2"/>
  <c r="D1620" i="2"/>
  <c r="C1620" i="2"/>
  <c r="F1620" i="2" s="1"/>
  <c r="G1620" i="2" s="1"/>
  <c r="B1620" i="2"/>
  <c r="A1620" i="2"/>
  <c r="K1619" i="2"/>
  <c r="L1619" i="2" s="1"/>
  <c r="J1619" i="2"/>
  <c r="I1619" i="2"/>
  <c r="H1619" i="2"/>
  <c r="E1619" i="2"/>
  <c r="D1619" i="2"/>
  <c r="C1619" i="2"/>
  <c r="F1619" i="2" s="1"/>
  <c r="B1619" i="2"/>
  <c r="A1619" i="2"/>
  <c r="K1618" i="2"/>
  <c r="J1618" i="2"/>
  <c r="I1618" i="2"/>
  <c r="L1618" i="2" s="1"/>
  <c r="H1618" i="2"/>
  <c r="E1618" i="2"/>
  <c r="D1618" i="2"/>
  <c r="F1618" i="2" s="1"/>
  <c r="G1618" i="2" s="1"/>
  <c r="M1618" i="2" s="1"/>
  <c r="C1618" i="2"/>
  <c r="B1618" i="2"/>
  <c r="A1618" i="2"/>
  <c r="K1617" i="2"/>
  <c r="J1617" i="2"/>
  <c r="I1617" i="2"/>
  <c r="H1617" i="2"/>
  <c r="E1617" i="2"/>
  <c r="D1617" i="2"/>
  <c r="C1617" i="2"/>
  <c r="F1617" i="2" s="1"/>
  <c r="G1617" i="2" s="1"/>
  <c r="B1617" i="2"/>
  <c r="A1617" i="2"/>
  <c r="K1616" i="2"/>
  <c r="J1616" i="2"/>
  <c r="L1616" i="2" s="1"/>
  <c r="I1616" i="2"/>
  <c r="H1616" i="2"/>
  <c r="E1616" i="2"/>
  <c r="D1616" i="2"/>
  <c r="C1616" i="2"/>
  <c r="F1616" i="2" s="1"/>
  <c r="B1616" i="2"/>
  <c r="G1616" i="2" s="1"/>
  <c r="A1616" i="2"/>
  <c r="K1615" i="2"/>
  <c r="J1615" i="2"/>
  <c r="I1615" i="2"/>
  <c r="H1615" i="2"/>
  <c r="L1615" i="2" s="1"/>
  <c r="E1615" i="2"/>
  <c r="D1615" i="2"/>
  <c r="C1615" i="2"/>
  <c r="F1615" i="2" s="1"/>
  <c r="B1615" i="2"/>
  <c r="A1615" i="2"/>
  <c r="K1614" i="2"/>
  <c r="J1614" i="2"/>
  <c r="I1614" i="2"/>
  <c r="H1614" i="2"/>
  <c r="L1614" i="2" s="1"/>
  <c r="G1614" i="2"/>
  <c r="M1614" i="2" s="1"/>
  <c r="F1614" i="2"/>
  <c r="E1614" i="2"/>
  <c r="D1614" i="2"/>
  <c r="C1614" i="2"/>
  <c r="B1614" i="2"/>
  <c r="A1614" i="2"/>
  <c r="K1613" i="2"/>
  <c r="J1613" i="2"/>
  <c r="I1613" i="2"/>
  <c r="L1613" i="2" s="1"/>
  <c r="H1613" i="2"/>
  <c r="E1613" i="2"/>
  <c r="D1613" i="2"/>
  <c r="C1613" i="2"/>
  <c r="F1613" i="2" s="1"/>
  <c r="B1613" i="2"/>
  <c r="G1613" i="2" s="1"/>
  <c r="A1613" i="2"/>
  <c r="L1612" i="2"/>
  <c r="K1612" i="2"/>
  <c r="J1612" i="2"/>
  <c r="I1612" i="2"/>
  <c r="H1612" i="2"/>
  <c r="E1612" i="2"/>
  <c r="D1612" i="2"/>
  <c r="C1612" i="2"/>
  <c r="B1612" i="2"/>
  <c r="A1612" i="2"/>
  <c r="K1611" i="2"/>
  <c r="J1611" i="2"/>
  <c r="I1611" i="2"/>
  <c r="H1611" i="2"/>
  <c r="L1611" i="2" s="1"/>
  <c r="F1611" i="2"/>
  <c r="G1611" i="2" s="1"/>
  <c r="M1611" i="2" s="1"/>
  <c r="E1611" i="2"/>
  <c r="D1611" i="2"/>
  <c r="C1611" i="2"/>
  <c r="B1611" i="2"/>
  <c r="A1611" i="2"/>
  <c r="K1610" i="2"/>
  <c r="J1610" i="2"/>
  <c r="I1610" i="2"/>
  <c r="H1610" i="2"/>
  <c r="E1610" i="2"/>
  <c r="D1610" i="2"/>
  <c r="C1610" i="2"/>
  <c r="F1610" i="2" s="1"/>
  <c r="G1610" i="2" s="1"/>
  <c r="B1610" i="2"/>
  <c r="A1610" i="2"/>
  <c r="K1609" i="2"/>
  <c r="L1609" i="2" s="1"/>
  <c r="J1609" i="2"/>
  <c r="I1609" i="2"/>
  <c r="H1609" i="2"/>
  <c r="E1609" i="2"/>
  <c r="D1609" i="2"/>
  <c r="C1609" i="2"/>
  <c r="F1609" i="2" s="1"/>
  <c r="B1609" i="2"/>
  <c r="A1609" i="2"/>
  <c r="K1608" i="2"/>
  <c r="J1608" i="2"/>
  <c r="I1608" i="2"/>
  <c r="L1608" i="2" s="1"/>
  <c r="H1608" i="2"/>
  <c r="E1608" i="2"/>
  <c r="D1608" i="2"/>
  <c r="F1608" i="2" s="1"/>
  <c r="G1608" i="2" s="1"/>
  <c r="M1608" i="2" s="1"/>
  <c r="C1608" i="2"/>
  <c r="B1608" i="2"/>
  <c r="A1608" i="2"/>
  <c r="K1607" i="2"/>
  <c r="J1607" i="2"/>
  <c r="I1607" i="2"/>
  <c r="H1607" i="2"/>
  <c r="L1607" i="2" s="1"/>
  <c r="E1607" i="2"/>
  <c r="D1607" i="2"/>
  <c r="C1607" i="2"/>
  <c r="F1607" i="2" s="1"/>
  <c r="G1607" i="2" s="1"/>
  <c r="M1607" i="2" s="1"/>
  <c r="B1607" i="2"/>
  <c r="A1607" i="2"/>
  <c r="K1606" i="2"/>
  <c r="J1606" i="2"/>
  <c r="L1606" i="2" s="1"/>
  <c r="M1606" i="2" s="1"/>
  <c r="I1606" i="2"/>
  <c r="H1606" i="2"/>
  <c r="E1606" i="2"/>
  <c r="D1606" i="2"/>
  <c r="C1606" i="2"/>
  <c r="F1606" i="2" s="1"/>
  <c r="B1606" i="2"/>
  <c r="G1606" i="2" s="1"/>
  <c r="A1606" i="2"/>
  <c r="K1605" i="2"/>
  <c r="J1605" i="2"/>
  <c r="I1605" i="2"/>
  <c r="H1605" i="2"/>
  <c r="L1605" i="2" s="1"/>
  <c r="E1605" i="2"/>
  <c r="D1605" i="2"/>
  <c r="C1605" i="2"/>
  <c r="F1605" i="2" s="1"/>
  <c r="B1605" i="2"/>
  <c r="A1605" i="2"/>
  <c r="K1604" i="2"/>
  <c r="J1604" i="2"/>
  <c r="I1604" i="2"/>
  <c r="H1604" i="2"/>
  <c r="L1604" i="2" s="1"/>
  <c r="G1604" i="2"/>
  <c r="M1604" i="2" s="1"/>
  <c r="F1604" i="2"/>
  <c r="E1604" i="2"/>
  <c r="D1604" i="2"/>
  <c r="C1604" i="2"/>
  <c r="B1604" i="2"/>
  <c r="A1604" i="2"/>
  <c r="L1603" i="2"/>
  <c r="K1603" i="2"/>
  <c r="J1603" i="2"/>
  <c r="I1603" i="2"/>
  <c r="H1603" i="2"/>
  <c r="E1603" i="2"/>
  <c r="D1603" i="2"/>
  <c r="C1603" i="2"/>
  <c r="F1603" i="2" s="1"/>
  <c r="B1603" i="2"/>
  <c r="A1603" i="2"/>
  <c r="L1602" i="2"/>
  <c r="K1602" i="2"/>
  <c r="J1602" i="2"/>
  <c r="I1602" i="2"/>
  <c r="H1602" i="2"/>
  <c r="E1602" i="2"/>
  <c r="D1602" i="2"/>
  <c r="C1602" i="2"/>
  <c r="B1602" i="2"/>
  <c r="A1602" i="2"/>
  <c r="K1601" i="2"/>
  <c r="J1601" i="2"/>
  <c r="I1601" i="2"/>
  <c r="H1601" i="2"/>
  <c r="L1601" i="2" s="1"/>
  <c r="E1601" i="2"/>
  <c r="F1601" i="2" s="1"/>
  <c r="G1601" i="2" s="1"/>
  <c r="M1601" i="2" s="1"/>
  <c r="D1601" i="2"/>
  <c r="C1601" i="2"/>
  <c r="B1601" i="2"/>
  <c r="A1601" i="2"/>
  <c r="K1600" i="2"/>
  <c r="J1600" i="2"/>
  <c r="I1600" i="2"/>
  <c r="H1600" i="2"/>
  <c r="E1600" i="2"/>
  <c r="D1600" i="2"/>
  <c r="C1600" i="2"/>
  <c r="F1600" i="2" s="1"/>
  <c r="G1600" i="2" s="1"/>
  <c r="B1600" i="2"/>
  <c r="A1600" i="2"/>
  <c r="K1599" i="2"/>
  <c r="L1599" i="2" s="1"/>
  <c r="J1599" i="2"/>
  <c r="I1599" i="2"/>
  <c r="H1599" i="2"/>
  <c r="E1599" i="2"/>
  <c r="D1599" i="2"/>
  <c r="C1599" i="2"/>
  <c r="B1599" i="2"/>
  <c r="A1599" i="2"/>
  <c r="K1598" i="2"/>
  <c r="J1598" i="2"/>
  <c r="I1598" i="2"/>
  <c r="L1598" i="2" s="1"/>
  <c r="H1598" i="2"/>
  <c r="F1598" i="2"/>
  <c r="G1598" i="2" s="1"/>
  <c r="M1598" i="2" s="1"/>
  <c r="E1598" i="2"/>
  <c r="D1598" i="2"/>
  <c r="C1598" i="2"/>
  <c r="B1598" i="2"/>
  <c r="A1598" i="2"/>
  <c r="K1597" i="2"/>
  <c r="J1597" i="2"/>
  <c r="I1597" i="2"/>
  <c r="H1597" i="2"/>
  <c r="L1597" i="2" s="1"/>
  <c r="E1597" i="2"/>
  <c r="D1597" i="2"/>
  <c r="C1597" i="2"/>
  <c r="F1597" i="2" s="1"/>
  <c r="G1597" i="2" s="1"/>
  <c r="M1597" i="2" s="1"/>
  <c r="B1597" i="2"/>
  <c r="A1597" i="2"/>
  <c r="K1596" i="2"/>
  <c r="J1596" i="2"/>
  <c r="L1596" i="2" s="1"/>
  <c r="M1596" i="2" s="1"/>
  <c r="I1596" i="2"/>
  <c r="H1596" i="2"/>
  <c r="E1596" i="2"/>
  <c r="D1596" i="2"/>
  <c r="C1596" i="2"/>
  <c r="F1596" i="2" s="1"/>
  <c r="B1596" i="2"/>
  <c r="G1596" i="2" s="1"/>
  <c r="A1596" i="2"/>
  <c r="K1595" i="2"/>
  <c r="J1595" i="2"/>
  <c r="I1595" i="2"/>
  <c r="H1595" i="2"/>
  <c r="L1595" i="2" s="1"/>
  <c r="E1595" i="2"/>
  <c r="F1595" i="2" s="1"/>
  <c r="D1595" i="2"/>
  <c r="C1595" i="2"/>
  <c r="B1595" i="2"/>
  <c r="A1595" i="2"/>
  <c r="K1594" i="2"/>
  <c r="J1594" i="2"/>
  <c r="I1594" i="2"/>
  <c r="H1594" i="2"/>
  <c r="F1594" i="2"/>
  <c r="G1594" i="2" s="1"/>
  <c r="E1594" i="2"/>
  <c r="D1594" i="2"/>
  <c r="C1594" i="2"/>
  <c r="B1594" i="2"/>
  <c r="A1594" i="2"/>
  <c r="K1593" i="2"/>
  <c r="J1593" i="2"/>
  <c r="L1593" i="2" s="1"/>
  <c r="I1593" i="2"/>
  <c r="H1593" i="2"/>
  <c r="E1593" i="2"/>
  <c r="D1593" i="2"/>
  <c r="C1593" i="2"/>
  <c r="F1593" i="2" s="1"/>
  <c r="B1593" i="2"/>
  <c r="A1593" i="2"/>
  <c r="L1592" i="2"/>
  <c r="K1592" i="2"/>
  <c r="J1592" i="2"/>
  <c r="I1592" i="2"/>
  <c r="H1592" i="2"/>
  <c r="E1592" i="2"/>
  <c r="D1592" i="2"/>
  <c r="C1592" i="2"/>
  <c r="B1592" i="2"/>
  <c r="A1592" i="2"/>
  <c r="K1591" i="2"/>
  <c r="J1591" i="2"/>
  <c r="I1591" i="2"/>
  <c r="H1591" i="2"/>
  <c r="F1591" i="2"/>
  <c r="G1591" i="2" s="1"/>
  <c r="E1591" i="2"/>
  <c r="D1591" i="2"/>
  <c r="C1591" i="2"/>
  <c r="B1591" i="2"/>
  <c r="A1591" i="2"/>
  <c r="K1590" i="2"/>
  <c r="J1590" i="2"/>
  <c r="I1590" i="2"/>
  <c r="H1590" i="2"/>
  <c r="E1590" i="2"/>
  <c r="D1590" i="2"/>
  <c r="C1590" i="2"/>
  <c r="F1590" i="2" s="1"/>
  <c r="G1590" i="2" s="1"/>
  <c r="B1590" i="2"/>
  <c r="A1590" i="2"/>
  <c r="K1589" i="2"/>
  <c r="J1589" i="2"/>
  <c r="I1589" i="2"/>
  <c r="L1589" i="2" s="1"/>
  <c r="H1589" i="2"/>
  <c r="E1589" i="2"/>
  <c r="D1589" i="2"/>
  <c r="F1589" i="2" s="1"/>
  <c r="G1589" i="2" s="1"/>
  <c r="M1589" i="2" s="1"/>
  <c r="C1589" i="2"/>
  <c r="B1589" i="2"/>
  <c r="A1589" i="2"/>
  <c r="K1588" i="2"/>
  <c r="J1588" i="2"/>
  <c r="I1588" i="2"/>
  <c r="L1588" i="2" s="1"/>
  <c r="H1588" i="2"/>
  <c r="E1588" i="2"/>
  <c r="D1588" i="2"/>
  <c r="C1588" i="2"/>
  <c r="F1588" i="2" s="1"/>
  <c r="G1588" i="2" s="1"/>
  <c r="M1588" i="2" s="1"/>
  <c r="B1588" i="2"/>
  <c r="A1588" i="2"/>
  <c r="K1587" i="2"/>
  <c r="J1587" i="2"/>
  <c r="L1587" i="2" s="1"/>
  <c r="I1587" i="2"/>
  <c r="H1587" i="2"/>
  <c r="E1587" i="2"/>
  <c r="D1587" i="2"/>
  <c r="C1587" i="2"/>
  <c r="F1587" i="2" s="1"/>
  <c r="B1587" i="2"/>
  <c r="A1587" i="2"/>
  <c r="M1586" i="2"/>
  <c r="K1586" i="2"/>
  <c r="J1586" i="2"/>
  <c r="I1586" i="2"/>
  <c r="H1586" i="2"/>
  <c r="L1586" i="2" s="1"/>
  <c r="E1586" i="2"/>
  <c r="F1586" i="2" s="1"/>
  <c r="D1586" i="2"/>
  <c r="C1586" i="2"/>
  <c r="B1586" i="2"/>
  <c r="G1586" i="2" s="1"/>
  <c r="A1586" i="2"/>
  <c r="K1585" i="2"/>
  <c r="J1585" i="2"/>
  <c r="I1585" i="2"/>
  <c r="H1585" i="2"/>
  <c r="L1585" i="2" s="1"/>
  <c r="E1585" i="2"/>
  <c r="D1585" i="2"/>
  <c r="F1585" i="2" s="1"/>
  <c r="C1585" i="2"/>
  <c r="B1585" i="2"/>
  <c r="A1585" i="2"/>
  <c r="K1584" i="2"/>
  <c r="J1584" i="2"/>
  <c r="I1584" i="2"/>
  <c r="H1584" i="2"/>
  <c r="L1584" i="2" s="1"/>
  <c r="F1584" i="2"/>
  <c r="E1584" i="2"/>
  <c r="D1584" i="2"/>
  <c r="C1584" i="2"/>
  <c r="B1584" i="2"/>
  <c r="G1584" i="2" s="1"/>
  <c r="M1584" i="2" s="1"/>
  <c r="A1584" i="2"/>
  <c r="K1583" i="2"/>
  <c r="J1583" i="2"/>
  <c r="I1583" i="2"/>
  <c r="H1583" i="2"/>
  <c r="L1583" i="2" s="1"/>
  <c r="E1583" i="2"/>
  <c r="D1583" i="2"/>
  <c r="C1583" i="2"/>
  <c r="B1583" i="2"/>
  <c r="A1583" i="2"/>
  <c r="K1582" i="2"/>
  <c r="J1582" i="2"/>
  <c r="L1582" i="2" s="1"/>
  <c r="I1582" i="2"/>
  <c r="H1582" i="2"/>
  <c r="E1582" i="2"/>
  <c r="D1582" i="2"/>
  <c r="C1582" i="2"/>
  <c r="F1582" i="2" s="1"/>
  <c r="B1582" i="2"/>
  <c r="G1582" i="2" s="1"/>
  <c r="A1582" i="2"/>
  <c r="K1581" i="2"/>
  <c r="J1581" i="2"/>
  <c r="I1581" i="2"/>
  <c r="H1581" i="2"/>
  <c r="E1581" i="2"/>
  <c r="D1581" i="2"/>
  <c r="C1581" i="2"/>
  <c r="F1581" i="2" s="1"/>
  <c r="G1581" i="2" s="1"/>
  <c r="B1581" i="2"/>
  <c r="A1581" i="2"/>
  <c r="K1580" i="2"/>
  <c r="J1580" i="2"/>
  <c r="I1580" i="2"/>
  <c r="H1580" i="2"/>
  <c r="E1580" i="2"/>
  <c r="D1580" i="2"/>
  <c r="C1580" i="2"/>
  <c r="F1580" i="2" s="1"/>
  <c r="G1580" i="2" s="1"/>
  <c r="B1580" i="2"/>
  <c r="A1580" i="2"/>
  <c r="K1579" i="2"/>
  <c r="J1579" i="2"/>
  <c r="I1579" i="2"/>
  <c r="L1579" i="2" s="1"/>
  <c r="H1579" i="2"/>
  <c r="F1579" i="2"/>
  <c r="E1579" i="2"/>
  <c r="D1579" i="2"/>
  <c r="C1579" i="2"/>
  <c r="B1579" i="2"/>
  <c r="A1579" i="2"/>
  <c r="K1578" i="2"/>
  <c r="J1578" i="2"/>
  <c r="I1578" i="2"/>
  <c r="L1578" i="2" s="1"/>
  <c r="H1578" i="2"/>
  <c r="F1578" i="2"/>
  <c r="E1578" i="2"/>
  <c r="D1578" i="2"/>
  <c r="C1578" i="2"/>
  <c r="B1578" i="2"/>
  <c r="G1578" i="2" s="1"/>
  <c r="A1578" i="2"/>
  <c r="L1577" i="2"/>
  <c r="K1577" i="2"/>
  <c r="J1577" i="2"/>
  <c r="I1577" i="2"/>
  <c r="H1577" i="2"/>
  <c r="E1577" i="2"/>
  <c r="F1577" i="2" s="1"/>
  <c r="D1577" i="2"/>
  <c r="C1577" i="2"/>
  <c r="B1577" i="2"/>
  <c r="A1577" i="2"/>
  <c r="K1576" i="2"/>
  <c r="J1576" i="2"/>
  <c r="I1576" i="2"/>
  <c r="H1576" i="2"/>
  <c r="L1576" i="2" s="1"/>
  <c r="F1576" i="2"/>
  <c r="E1576" i="2"/>
  <c r="D1576" i="2"/>
  <c r="C1576" i="2"/>
  <c r="B1576" i="2"/>
  <c r="A1576" i="2"/>
  <c r="K1575" i="2"/>
  <c r="J1575" i="2"/>
  <c r="I1575" i="2"/>
  <c r="L1575" i="2" s="1"/>
  <c r="H1575" i="2"/>
  <c r="F1575" i="2"/>
  <c r="E1575" i="2"/>
  <c r="D1575" i="2"/>
  <c r="C1575" i="2"/>
  <c r="B1575" i="2"/>
  <c r="A1575" i="2"/>
  <c r="K1574" i="2"/>
  <c r="J1574" i="2"/>
  <c r="I1574" i="2"/>
  <c r="H1574" i="2"/>
  <c r="L1574" i="2" s="1"/>
  <c r="E1574" i="2"/>
  <c r="D1574" i="2"/>
  <c r="F1574" i="2" s="1"/>
  <c r="C1574" i="2"/>
  <c r="B1574" i="2"/>
  <c r="A1574" i="2"/>
  <c r="K1573" i="2"/>
  <c r="J1573" i="2"/>
  <c r="L1573" i="2" s="1"/>
  <c r="I1573" i="2"/>
  <c r="H1573" i="2"/>
  <c r="E1573" i="2"/>
  <c r="D1573" i="2"/>
  <c r="C1573" i="2"/>
  <c r="F1573" i="2" s="1"/>
  <c r="B1573" i="2"/>
  <c r="G1573" i="2" s="1"/>
  <c r="A1573" i="2"/>
  <c r="L1572" i="2"/>
  <c r="K1572" i="2"/>
  <c r="J1572" i="2"/>
  <c r="I1572" i="2"/>
  <c r="H1572" i="2"/>
  <c r="E1572" i="2"/>
  <c r="D1572" i="2"/>
  <c r="C1572" i="2"/>
  <c r="B1572" i="2"/>
  <c r="A1572" i="2"/>
  <c r="K1571" i="2"/>
  <c r="J1571" i="2"/>
  <c r="I1571" i="2"/>
  <c r="H1571" i="2"/>
  <c r="E1571" i="2"/>
  <c r="D1571" i="2"/>
  <c r="C1571" i="2"/>
  <c r="F1571" i="2" s="1"/>
  <c r="G1571" i="2" s="1"/>
  <c r="B1571" i="2"/>
  <c r="A1571" i="2"/>
  <c r="K1570" i="2"/>
  <c r="J1570" i="2"/>
  <c r="I1570" i="2"/>
  <c r="H1570" i="2"/>
  <c r="L1570" i="2" s="1"/>
  <c r="E1570" i="2"/>
  <c r="D1570" i="2"/>
  <c r="C1570" i="2"/>
  <c r="F1570" i="2" s="1"/>
  <c r="G1570" i="2" s="1"/>
  <c r="M1570" i="2" s="1"/>
  <c r="B1570" i="2"/>
  <c r="A1570" i="2"/>
  <c r="K1569" i="2"/>
  <c r="J1569" i="2"/>
  <c r="L1569" i="2" s="1"/>
  <c r="I1569" i="2"/>
  <c r="H1569" i="2"/>
  <c r="E1569" i="2"/>
  <c r="D1569" i="2"/>
  <c r="F1569" i="2" s="1"/>
  <c r="C1569" i="2"/>
  <c r="B1569" i="2"/>
  <c r="G1569" i="2" s="1"/>
  <c r="M1569" i="2" s="1"/>
  <c r="A1569" i="2"/>
  <c r="K1568" i="2"/>
  <c r="J1568" i="2"/>
  <c r="I1568" i="2"/>
  <c r="L1568" i="2" s="1"/>
  <c r="H1568" i="2"/>
  <c r="E1568" i="2"/>
  <c r="D1568" i="2"/>
  <c r="C1568" i="2"/>
  <c r="F1568" i="2" s="1"/>
  <c r="G1568" i="2" s="1"/>
  <c r="M1568" i="2" s="1"/>
  <c r="B1568" i="2"/>
  <c r="A1568" i="2"/>
  <c r="K1567" i="2"/>
  <c r="J1567" i="2"/>
  <c r="I1567" i="2"/>
  <c r="H1567" i="2"/>
  <c r="L1567" i="2" s="1"/>
  <c r="G1567" i="2"/>
  <c r="M1567" i="2" s="1"/>
  <c r="F1567" i="2"/>
  <c r="E1567" i="2"/>
  <c r="D1567" i="2"/>
  <c r="C1567" i="2"/>
  <c r="B1567" i="2"/>
  <c r="A1567" i="2"/>
  <c r="K1566" i="2"/>
  <c r="J1566" i="2"/>
  <c r="I1566" i="2"/>
  <c r="H1566" i="2"/>
  <c r="L1566" i="2" s="1"/>
  <c r="F1566" i="2"/>
  <c r="E1566" i="2"/>
  <c r="D1566" i="2"/>
  <c r="C1566" i="2"/>
  <c r="B1566" i="2"/>
  <c r="A1566" i="2"/>
  <c r="L1565" i="2"/>
  <c r="K1565" i="2"/>
  <c r="J1565" i="2"/>
  <c r="I1565" i="2"/>
  <c r="H1565" i="2"/>
  <c r="E1565" i="2"/>
  <c r="D1565" i="2"/>
  <c r="F1565" i="2" s="1"/>
  <c r="C1565" i="2"/>
  <c r="B1565" i="2"/>
  <c r="A1565" i="2"/>
  <c r="L1564" i="2"/>
  <c r="K1564" i="2"/>
  <c r="J1564" i="2"/>
  <c r="I1564" i="2"/>
  <c r="H1564" i="2"/>
  <c r="E1564" i="2"/>
  <c r="D1564" i="2"/>
  <c r="F1564" i="2" s="1"/>
  <c r="C1564" i="2"/>
  <c r="B1564" i="2"/>
  <c r="G1564" i="2" s="1"/>
  <c r="M1564" i="2" s="1"/>
  <c r="A1564" i="2"/>
  <c r="L1563" i="2"/>
  <c r="K1563" i="2"/>
  <c r="J1563" i="2"/>
  <c r="I1563" i="2"/>
  <c r="H1563" i="2"/>
  <c r="E1563" i="2"/>
  <c r="D1563" i="2"/>
  <c r="C1563" i="2"/>
  <c r="B1563" i="2"/>
  <c r="A1563" i="2"/>
  <c r="K1562" i="2"/>
  <c r="J1562" i="2"/>
  <c r="I1562" i="2"/>
  <c r="H1562" i="2"/>
  <c r="L1562" i="2" s="1"/>
  <c r="E1562" i="2"/>
  <c r="D1562" i="2"/>
  <c r="C1562" i="2"/>
  <c r="F1562" i="2" s="1"/>
  <c r="G1562" i="2" s="1"/>
  <c r="M1562" i="2" s="1"/>
  <c r="B1562" i="2"/>
  <c r="A1562" i="2"/>
  <c r="K1561" i="2"/>
  <c r="J1561" i="2"/>
  <c r="I1561" i="2"/>
  <c r="H1561" i="2"/>
  <c r="L1561" i="2" s="1"/>
  <c r="E1561" i="2"/>
  <c r="D1561" i="2"/>
  <c r="C1561" i="2"/>
  <c r="F1561" i="2" s="1"/>
  <c r="G1561" i="2" s="1"/>
  <c r="M1561" i="2" s="1"/>
  <c r="B1561" i="2"/>
  <c r="A1561" i="2"/>
  <c r="K1560" i="2"/>
  <c r="J1560" i="2"/>
  <c r="I1560" i="2"/>
  <c r="H1560" i="2"/>
  <c r="E1560" i="2"/>
  <c r="D1560" i="2"/>
  <c r="C1560" i="2"/>
  <c r="F1560" i="2" s="1"/>
  <c r="G1560" i="2" s="1"/>
  <c r="B1560" i="2"/>
  <c r="A1560" i="2"/>
  <c r="K1559" i="2"/>
  <c r="J1559" i="2"/>
  <c r="L1559" i="2" s="1"/>
  <c r="I1559" i="2"/>
  <c r="H1559" i="2"/>
  <c r="E1559" i="2"/>
  <c r="D1559" i="2"/>
  <c r="C1559" i="2"/>
  <c r="F1559" i="2" s="1"/>
  <c r="B1559" i="2"/>
  <c r="G1559" i="2" s="1"/>
  <c r="M1559" i="2" s="1"/>
  <c r="A1559" i="2"/>
  <c r="K1558" i="2"/>
  <c r="J1558" i="2"/>
  <c r="I1558" i="2"/>
  <c r="L1558" i="2" s="1"/>
  <c r="H1558" i="2"/>
  <c r="E1558" i="2"/>
  <c r="D1558" i="2"/>
  <c r="C1558" i="2"/>
  <c r="F1558" i="2" s="1"/>
  <c r="G1558" i="2" s="1"/>
  <c r="M1558" i="2" s="1"/>
  <c r="B1558" i="2"/>
  <c r="A1558" i="2"/>
  <c r="K1557" i="2"/>
  <c r="J1557" i="2"/>
  <c r="I1557" i="2"/>
  <c r="H1557" i="2"/>
  <c r="L1557" i="2" s="1"/>
  <c r="F1557" i="2"/>
  <c r="E1557" i="2"/>
  <c r="D1557" i="2"/>
  <c r="C1557" i="2"/>
  <c r="B1557" i="2"/>
  <c r="G1557" i="2" s="1"/>
  <c r="M1557" i="2" s="1"/>
  <c r="A1557" i="2"/>
  <c r="L1556" i="2"/>
  <c r="K1556" i="2"/>
  <c r="J1556" i="2"/>
  <c r="I1556" i="2"/>
  <c r="H1556" i="2"/>
  <c r="E1556" i="2"/>
  <c r="D1556" i="2"/>
  <c r="F1556" i="2" s="1"/>
  <c r="C1556" i="2"/>
  <c r="B1556" i="2"/>
  <c r="A1556" i="2"/>
  <c r="K1555" i="2"/>
  <c r="J1555" i="2"/>
  <c r="I1555" i="2"/>
  <c r="H1555" i="2"/>
  <c r="E1555" i="2"/>
  <c r="D1555" i="2"/>
  <c r="C1555" i="2"/>
  <c r="F1555" i="2" s="1"/>
  <c r="G1555" i="2" s="1"/>
  <c r="B1555" i="2"/>
  <c r="A1555" i="2"/>
  <c r="K1554" i="2"/>
  <c r="J1554" i="2"/>
  <c r="I1554" i="2"/>
  <c r="H1554" i="2"/>
  <c r="L1554" i="2" s="1"/>
  <c r="F1554" i="2"/>
  <c r="G1554" i="2" s="1"/>
  <c r="M1554" i="2" s="1"/>
  <c r="E1554" i="2"/>
  <c r="D1554" i="2"/>
  <c r="C1554" i="2"/>
  <c r="B1554" i="2"/>
  <c r="A1554" i="2"/>
  <c r="K1553" i="2"/>
  <c r="J1553" i="2"/>
  <c r="I1553" i="2"/>
  <c r="H1553" i="2"/>
  <c r="L1553" i="2" s="1"/>
  <c r="E1553" i="2"/>
  <c r="D1553" i="2"/>
  <c r="C1553" i="2"/>
  <c r="B1553" i="2"/>
  <c r="A1553" i="2"/>
  <c r="K1552" i="2"/>
  <c r="J1552" i="2"/>
  <c r="I1552" i="2"/>
  <c r="H1552" i="2"/>
  <c r="E1552" i="2"/>
  <c r="D1552" i="2"/>
  <c r="F1552" i="2" s="1"/>
  <c r="C1552" i="2"/>
  <c r="B1552" i="2"/>
  <c r="A1552" i="2"/>
  <c r="K1551" i="2"/>
  <c r="J1551" i="2"/>
  <c r="I1551" i="2"/>
  <c r="H1551" i="2"/>
  <c r="E1551" i="2"/>
  <c r="D1551" i="2"/>
  <c r="C1551" i="2"/>
  <c r="F1551" i="2" s="1"/>
  <c r="G1551" i="2" s="1"/>
  <c r="B1551" i="2"/>
  <c r="A1551" i="2"/>
  <c r="M1550" i="2"/>
  <c r="K1550" i="2"/>
  <c r="J1550" i="2"/>
  <c r="I1550" i="2"/>
  <c r="H1550" i="2"/>
  <c r="L1550" i="2" s="1"/>
  <c r="E1550" i="2"/>
  <c r="D1550" i="2"/>
  <c r="C1550" i="2"/>
  <c r="F1550" i="2" s="1"/>
  <c r="G1550" i="2" s="1"/>
  <c r="B1550" i="2"/>
  <c r="A1550" i="2"/>
  <c r="K1549" i="2"/>
  <c r="J1549" i="2"/>
  <c r="I1549" i="2"/>
  <c r="L1549" i="2" s="1"/>
  <c r="H1549" i="2"/>
  <c r="F1549" i="2"/>
  <c r="E1549" i="2"/>
  <c r="D1549" i="2"/>
  <c r="C1549" i="2"/>
  <c r="B1549" i="2"/>
  <c r="G1549" i="2" s="1"/>
  <c r="A1549" i="2"/>
  <c r="L1548" i="2"/>
  <c r="K1548" i="2"/>
  <c r="J1548" i="2"/>
  <c r="I1548" i="2"/>
  <c r="H1548" i="2"/>
  <c r="E1548" i="2"/>
  <c r="D1548" i="2"/>
  <c r="C1548" i="2"/>
  <c r="F1548" i="2" s="1"/>
  <c r="B1548" i="2"/>
  <c r="G1548" i="2" s="1"/>
  <c r="A1548" i="2"/>
  <c r="L1547" i="2"/>
  <c r="K1547" i="2"/>
  <c r="J1547" i="2"/>
  <c r="I1547" i="2"/>
  <c r="H1547" i="2"/>
  <c r="E1547" i="2"/>
  <c r="F1547" i="2" s="1"/>
  <c r="D1547" i="2"/>
  <c r="C1547" i="2"/>
  <c r="B1547" i="2"/>
  <c r="G1547" i="2" s="1"/>
  <c r="A1547" i="2"/>
  <c r="K1546" i="2"/>
  <c r="J1546" i="2"/>
  <c r="I1546" i="2"/>
  <c r="H1546" i="2"/>
  <c r="L1546" i="2" s="1"/>
  <c r="E1546" i="2"/>
  <c r="D1546" i="2"/>
  <c r="F1546" i="2" s="1"/>
  <c r="C1546" i="2"/>
  <c r="B1546" i="2"/>
  <c r="A1546" i="2"/>
  <c r="K1545" i="2"/>
  <c r="J1545" i="2"/>
  <c r="I1545" i="2"/>
  <c r="H1545" i="2"/>
  <c r="E1545" i="2"/>
  <c r="D1545" i="2"/>
  <c r="C1545" i="2"/>
  <c r="F1545" i="2" s="1"/>
  <c r="G1545" i="2" s="1"/>
  <c r="B1545" i="2"/>
  <c r="A1545" i="2"/>
  <c r="L1544" i="2"/>
  <c r="K1544" i="2"/>
  <c r="J1544" i="2"/>
  <c r="I1544" i="2"/>
  <c r="H1544" i="2"/>
  <c r="F1544" i="2"/>
  <c r="E1544" i="2"/>
  <c r="D1544" i="2"/>
  <c r="C1544" i="2"/>
  <c r="B1544" i="2"/>
  <c r="G1544" i="2" s="1"/>
  <c r="M1544" i="2" s="1"/>
  <c r="A1544" i="2"/>
  <c r="L1543" i="2"/>
  <c r="K1543" i="2"/>
  <c r="J1543" i="2"/>
  <c r="I1543" i="2"/>
  <c r="H1543" i="2"/>
  <c r="E1543" i="2"/>
  <c r="D1543" i="2"/>
  <c r="C1543" i="2"/>
  <c r="F1543" i="2" s="1"/>
  <c r="B1543" i="2"/>
  <c r="G1543" i="2" s="1"/>
  <c r="M1543" i="2" s="1"/>
  <c r="A1543" i="2"/>
  <c r="K1542" i="2"/>
  <c r="J1542" i="2"/>
  <c r="I1542" i="2"/>
  <c r="H1542" i="2"/>
  <c r="L1542" i="2" s="1"/>
  <c r="E1542" i="2"/>
  <c r="D1542" i="2"/>
  <c r="F1542" i="2" s="1"/>
  <c r="G1542" i="2" s="1"/>
  <c r="M1542" i="2" s="1"/>
  <c r="C1542" i="2"/>
  <c r="B1542" i="2"/>
  <c r="A1542" i="2"/>
  <c r="K1541" i="2"/>
  <c r="J1541" i="2"/>
  <c r="I1541" i="2"/>
  <c r="H1541" i="2"/>
  <c r="L1541" i="2" s="1"/>
  <c r="E1541" i="2"/>
  <c r="D1541" i="2"/>
  <c r="C1541" i="2"/>
  <c r="F1541" i="2" s="1"/>
  <c r="G1541" i="2" s="1"/>
  <c r="M1541" i="2" s="1"/>
  <c r="B1541" i="2"/>
  <c r="A1541" i="2"/>
  <c r="K1540" i="2"/>
  <c r="J1540" i="2"/>
  <c r="L1540" i="2" s="1"/>
  <c r="I1540" i="2"/>
  <c r="H1540" i="2"/>
  <c r="E1540" i="2"/>
  <c r="D1540" i="2"/>
  <c r="C1540" i="2"/>
  <c r="F1540" i="2" s="1"/>
  <c r="B1540" i="2"/>
  <c r="A1540" i="2"/>
  <c r="K1539" i="2"/>
  <c r="J1539" i="2"/>
  <c r="I1539" i="2"/>
  <c r="H1539" i="2"/>
  <c r="L1539" i="2" s="1"/>
  <c r="E1539" i="2"/>
  <c r="D1539" i="2"/>
  <c r="C1539" i="2"/>
  <c r="B1539" i="2"/>
  <c r="A1539" i="2"/>
  <c r="K1538" i="2"/>
  <c r="J1538" i="2"/>
  <c r="I1538" i="2"/>
  <c r="H1538" i="2"/>
  <c r="L1538" i="2" s="1"/>
  <c r="F1538" i="2"/>
  <c r="E1538" i="2"/>
  <c r="D1538" i="2"/>
  <c r="C1538" i="2"/>
  <c r="B1538" i="2"/>
  <c r="G1538" i="2" s="1"/>
  <c r="M1538" i="2" s="1"/>
  <c r="A1538" i="2"/>
  <c r="K1537" i="2"/>
  <c r="J1537" i="2"/>
  <c r="I1537" i="2"/>
  <c r="L1537" i="2" s="1"/>
  <c r="H1537" i="2"/>
  <c r="E1537" i="2"/>
  <c r="D1537" i="2"/>
  <c r="C1537" i="2"/>
  <c r="F1537" i="2" s="1"/>
  <c r="B1537" i="2"/>
  <c r="G1537" i="2" s="1"/>
  <c r="A1537" i="2"/>
  <c r="L1536" i="2"/>
  <c r="K1536" i="2"/>
  <c r="J1536" i="2"/>
  <c r="I1536" i="2"/>
  <c r="H1536" i="2"/>
  <c r="E1536" i="2"/>
  <c r="D1536" i="2"/>
  <c r="C1536" i="2"/>
  <c r="B1536" i="2"/>
  <c r="A1536" i="2"/>
  <c r="K1535" i="2"/>
  <c r="J1535" i="2"/>
  <c r="I1535" i="2"/>
  <c r="H1535" i="2"/>
  <c r="L1535" i="2" s="1"/>
  <c r="E1535" i="2"/>
  <c r="D1535" i="2"/>
  <c r="C1535" i="2"/>
  <c r="B1535" i="2"/>
  <c r="A1535" i="2"/>
  <c r="K1534" i="2"/>
  <c r="J1534" i="2"/>
  <c r="I1534" i="2"/>
  <c r="H1534" i="2"/>
  <c r="L1534" i="2" s="1"/>
  <c r="E1534" i="2"/>
  <c r="D1534" i="2"/>
  <c r="F1534" i="2" s="1"/>
  <c r="C1534" i="2"/>
  <c r="B1534" i="2"/>
  <c r="A1534" i="2"/>
  <c r="K1533" i="2"/>
  <c r="J1533" i="2"/>
  <c r="I1533" i="2"/>
  <c r="H1533" i="2"/>
  <c r="L1533" i="2" s="1"/>
  <c r="E1533" i="2"/>
  <c r="D1533" i="2"/>
  <c r="C1533" i="2"/>
  <c r="B1533" i="2"/>
  <c r="A1533" i="2"/>
  <c r="K1532" i="2"/>
  <c r="J1532" i="2"/>
  <c r="I1532" i="2"/>
  <c r="H1532" i="2"/>
  <c r="L1532" i="2" s="1"/>
  <c r="E1532" i="2"/>
  <c r="D1532" i="2"/>
  <c r="F1532" i="2" s="1"/>
  <c r="G1532" i="2" s="1"/>
  <c r="M1532" i="2" s="1"/>
  <c r="C1532" i="2"/>
  <c r="B1532" i="2"/>
  <c r="A1532" i="2"/>
  <c r="K1531" i="2"/>
  <c r="J1531" i="2"/>
  <c r="I1531" i="2"/>
  <c r="H1531" i="2"/>
  <c r="L1531" i="2" s="1"/>
  <c r="E1531" i="2"/>
  <c r="D1531" i="2"/>
  <c r="C1531" i="2"/>
  <c r="F1531" i="2" s="1"/>
  <c r="G1531" i="2" s="1"/>
  <c r="M1531" i="2" s="1"/>
  <c r="B1531" i="2"/>
  <c r="A1531" i="2"/>
  <c r="K1530" i="2"/>
  <c r="J1530" i="2"/>
  <c r="L1530" i="2" s="1"/>
  <c r="I1530" i="2"/>
  <c r="H1530" i="2"/>
  <c r="E1530" i="2"/>
  <c r="D1530" i="2"/>
  <c r="C1530" i="2"/>
  <c r="F1530" i="2" s="1"/>
  <c r="B1530" i="2"/>
  <c r="A1530" i="2"/>
  <c r="K1529" i="2"/>
  <c r="J1529" i="2"/>
  <c r="I1529" i="2"/>
  <c r="H1529" i="2"/>
  <c r="L1529" i="2" s="1"/>
  <c r="F1529" i="2"/>
  <c r="G1529" i="2" s="1"/>
  <c r="M1529" i="2" s="1"/>
  <c r="E1529" i="2"/>
  <c r="D1529" i="2"/>
  <c r="C1529" i="2"/>
  <c r="B1529" i="2"/>
  <c r="A1529" i="2"/>
  <c r="K1528" i="2"/>
  <c r="J1528" i="2"/>
  <c r="I1528" i="2"/>
  <c r="H1528" i="2"/>
  <c r="L1528" i="2" s="1"/>
  <c r="F1528" i="2"/>
  <c r="E1528" i="2"/>
  <c r="D1528" i="2"/>
  <c r="C1528" i="2"/>
  <c r="B1528" i="2"/>
  <c r="A1528" i="2"/>
  <c r="K1527" i="2"/>
  <c r="J1527" i="2"/>
  <c r="I1527" i="2"/>
  <c r="L1527" i="2" s="1"/>
  <c r="H1527" i="2"/>
  <c r="E1527" i="2"/>
  <c r="D1527" i="2"/>
  <c r="C1527" i="2"/>
  <c r="F1527" i="2" s="1"/>
  <c r="B1527" i="2"/>
  <c r="G1527" i="2" s="1"/>
  <c r="A1527" i="2"/>
  <c r="L1526" i="2"/>
  <c r="K1526" i="2"/>
  <c r="J1526" i="2"/>
  <c r="I1526" i="2"/>
  <c r="H1526" i="2"/>
  <c r="E1526" i="2"/>
  <c r="D1526" i="2"/>
  <c r="F1526" i="2" s="1"/>
  <c r="C1526" i="2"/>
  <c r="B1526" i="2"/>
  <c r="A1526" i="2"/>
  <c r="K1525" i="2"/>
  <c r="J1525" i="2"/>
  <c r="I1525" i="2"/>
  <c r="H1525" i="2"/>
  <c r="L1525" i="2" s="1"/>
  <c r="E1525" i="2"/>
  <c r="D1525" i="2"/>
  <c r="C1525" i="2"/>
  <c r="B1525" i="2"/>
  <c r="A1525" i="2"/>
  <c r="K1524" i="2"/>
  <c r="J1524" i="2"/>
  <c r="I1524" i="2"/>
  <c r="H1524" i="2"/>
  <c r="L1524" i="2" s="1"/>
  <c r="E1524" i="2"/>
  <c r="D1524" i="2"/>
  <c r="F1524" i="2" s="1"/>
  <c r="C1524" i="2"/>
  <c r="B1524" i="2"/>
  <c r="A1524" i="2"/>
  <c r="K1523" i="2"/>
  <c r="J1523" i="2"/>
  <c r="I1523" i="2"/>
  <c r="H1523" i="2"/>
  <c r="L1523" i="2" s="1"/>
  <c r="E1523" i="2"/>
  <c r="D1523" i="2"/>
  <c r="C1523" i="2"/>
  <c r="F1523" i="2" s="1"/>
  <c r="G1523" i="2" s="1"/>
  <c r="M1523" i="2" s="1"/>
  <c r="B1523" i="2"/>
  <c r="A1523" i="2"/>
  <c r="K1522" i="2"/>
  <c r="J1522" i="2"/>
  <c r="I1522" i="2"/>
  <c r="H1522" i="2"/>
  <c r="L1522" i="2" s="1"/>
  <c r="E1522" i="2"/>
  <c r="D1522" i="2"/>
  <c r="F1522" i="2" s="1"/>
  <c r="G1522" i="2" s="1"/>
  <c r="M1522" i="2" s="1"/>
  <c r="C1522" i="2"/>
  <c r="B1522" i="2"/>
  <c r="A1522" i="2"/>
  <c r="K1521" i="2"/>
  <c r="J1521" i="2"/>
  <c r="I1521" i="2"/>
  <c r="H1521" i="2"/>
  <c r="L1521" i="2" s="1"/>
  <c r="G1521" i="2"/>
  <c r="E1521" i="2"/>
  <c r="D1521" i="2"/>
  <c r="C1521" i="2"/>
  <c r="F1521" i="2" s="1"/>
  <c r="B1521" i="2"/>
  <c r="A1521" i="2"/>
  <c r="K1520" i="2"/>
  <c r="J1520" i="2"/>
  <c r="L1520" i="2" s="1"/>
  <c r="I1520" i="2"/>
  <c r="H1520" i="2"/>
  <c r="E1520" i="2"/>
  <c r="D1520" i="2"/>
  <c r="C1520" i="2"/>
  <c r="F1520" i="2" s="1"/>
  <c r="B1520" i="2"/>
  <c r="G1520" i="2" s="1"/>
  <c r="M1520" i="2" s="1"/>
  <c r="A1520" i="2"/>
  <c r="K1519" i="2"/>
  <c r="J1519" i="2"/>
  <c r="I1519" i="2"/>
  <c r="H1519" i="2"/>
  <c r="L1519" i="2" s="1"/>
  <c r="F1519" i="2"/>
  <c r="G1519" i="2" s="1"/>
  <c r="M1519" i="2" s="1"/>
  <c r="E1519" i="2"/>
  <c r="D1519" i="2"/>
  <c r="C1519" i="2"/>
  <c r="B1519" i="2"/>
  <c r="A1519" i="2"/>
  <c r="K1518" i="2"/>
  <c r="J1518" i="2"/>
  <c r="I1518" i="2"/>
  <c r="H1518" i="2"/>
  <c r="F1518" i="2"/>
  <c r="E1518" i="2"/>
  <c r="D1518" i="2"/>
  <c r="C1518" i="2"/>
  <c r="B1518" i="2"/>
  <c r="A1518" i="2"/>
  <c r="K1517" i="2"/>
  <c r="J1517" i="2"/>
  <c r="I1517" i="2"/>
  <c r="H1517" i="2"/>
  <c r="F1517" i="2"/>
  <c r="E1517" i="2"/>
  <c r="D1517" i="2"/>
  <c r="C1517" i="2"/>
  <c r="B1517" i="2"/>
  <c r="G1517" i="2" s="1"/>
  <c r="A1517" i="2"/>
  <c r="L1516" i="2"/>
  <c r="K1516" i="2"/>
  <c r="J1516" i="2"/>
  <c r="I1516" i="2"/>
  <c r="H1516" i="2"/>
  <c r="E1516" i="2"/>
  <c r="D1516" i="2"/>
  <c r="F1516" i="2" s="1"/>
  <c r="C1516" i="2"/>
  <c r="B1516" i="2"/>
  <c r="G1516" i="2" s="1"/>
  <c r="A1516" i="2"/>
  <c r="K1515" i="2"/>
  <c r="J1515" i="2"/>
  <c r="I1515" i="2"/>
  <c r="H1515" i="2"/>
  <c r="L1515" i="2" s="1"/>
  <c r="E1515" i="2"/>
  <c r="D1515" i="2"/>
  <c r="C1515" i="2"/>
  <c r="F1515" i="2" s="1"/>
  <c r="G1515" i="2" s="1"/>
  <c r="M1515" i="2" s="1"/>
  <c r="B1515" i="2"/>
  <c r="A1515" i="2"/>
  <c r="K1514" i="2"/>
  <c r="J1514" i="2"/>
  <c r="I1514" i="2"/>
  <c r="H1514" i="2"/>
  <c r="E1514" i="2"/>
  <c r="F1514" i="2" s="1"/>
  <c r="D1514" i="2"/>
  <c r="C1514" i="2"/>
  <c r="B1514" i="2"/>
  <c r="G1514" i="2" s="1"/>
  <c r="A1514" i="2"/>
  <c r="K1513" i="2"/>
  <c r="J1513" i="2"/>
  <c r="I1513" i="2"/>
  <c r="H1513" i="2"/>
  <c r="E1513" i="2"/>
  <c r="D1513" i="2"/>
  <c r="C1513" i="2"/>
  <c r="F1513" i="2" s="1"/>
  <c r="G1513" i="2" s="1"/>
  <c r="B1513" i="2"/>
  <c r="A1513" i="2"/>
  <c r="K1512" i="2"/>
  <c r="J1512" i="2"/>
  <c r="I1512" i="2"/>
  <c r="H1512" i="2"/>
  <c r="L1512" i="2" s="1"/>
  <c r="E1512" i="2"/>
  <c r="D1512" i="2"/>
  <c r="F1512" i="2" s="1"/>
  <c r="G1512" i="2" s="1"/>
  <c r="M1512" i="2" s="1"/>
  <c r="C1512" i="2"/>
  <c r="B1512" i="2"/>
  <c r="A1512" i="2"/>
  <c r="K1511" i="2"/>
  <c r="J1511" i="2"/>
  <c r="I1511" i="2"/>
  <c r="H1511" i="2"/>
  <c r="L1511" i="2" s="1"/>
  <c r="E1511" i="2"/>
  <c r="D1511" i="2"/>
  <c r="C1511" i="2"/>
  <c r="F1511" i="2" s="1"/>
  <c r="G1511" i="2" s="1"/>
  <c r="M1511" i="2" s="1"/>
  <c r="B1511" i="2"/>
  <c r="A1511" i="2"/>
  <c r="K1510" i="2"/>
  <c r="J1510" i="2"/>
  <c r="L1510" i="2" s="1"/>
  <c r="I1510" i="2"/>
  <c r="H1510" i="2"/>
  <c r="E1510" i="2"/>
  <c r="D1510" i="2"/>
  <c r="C1510" i="2"/>
  <c r="F1510" i="2" s="1"/>
  <c r="B1510" i="2"/>
  <c r="A1510" i="2"/>
  <c r="K1509" i="2"/>
  <c r="J1509" i="2"/>
  <c r="I1509" i="2"/>
  <c r="H1509" i="2"/>
  <c r="L1509" i="2" s="1"/>
  <c r="E1509" i="2"/>
  <c r="D1509" i="2"/>
  <c r="C1509" i="2"/>
  <c r="F1509" i="2" s="1"/>
  <c r="G1509" i="2" s="1"/>
  <c r="M1509" i="2" s="1"/>
  <c r="B1509" i="2"/>
  <c r="A1509" i="2"/>
  <c r="K1508" i="2"/>
  <c r="J1508" i="2"/>
  <c r="I1508" i="2"/>
  <c r="H1508" i="2"/>
  <c r="L1508" i="2" s="1"/>
  <c r="F1508" i="2"/>
  <c r="E1508" i="2"/>
  <c r="D1508" i="2"/>
  <c r="C1508" i="2"/>
  <c r="B1508" i="2"/>
  <c r="G1508" i="2" s="1"/>
  <c r="M1508" i="2" s="1"/>
  <c r="A1508" i="2"/>
  <c r="K1507" i="2"/>
  <c r="L1507" i="2" s="1"/>
  <c r="J1507" i="2"/>
  <c r="I1507" i="2"/>
  <c r="H1507" i="2"/>
  <c r="F1507" i="2"/>
  <c r="E1507" i="2"/>
  <c r="D1507" i="2"/>
  <c r="C1507" i="2"/>
  <c r="B1507" i="2"/>
  <c r="G1507" i="2" s="1"/>
  <c r="A1507" i="2"/>
  <c r="L1506" i="2"/>
  <c r="K1506" i="2"/>
  <c r="J1506" i="2"/>
  <c r="I1506" i="2"/>
  <c r="H1506" i="2"/>
  <c r="E1506" i="2"/>
  <c r="D1506" i="2"/>
  <c r="F1506" i="2" s="1"/>
  <c r="C1506" i="2"/>
  <c r="B1506" i="2"/>
  <c r="G1506" i="2" s="1"/>
  <c r="A1506" i="2"/>
  <c r="K1505" i="2"/>
  <c r="J1505" i="2"/>
  <c r="I1505" i="2"/>
  <c r="H1505" i="2"/>
  <c r="L1505" i="2" s="1"/>
  <c r="E1505" i="2"/>
  <c r="D1505" i="2"/>
  <c r="C1505" i="2"/>
  <c r="F1505" i="2" s="1"/>
  <c r="G1505" i="2" s="1"/>
  <c r="M1505" i="2" s="1"/>
  <c r="B1505" i="2"/>
  <c r="A1505" i="2"/>
  <c r="K1504" i="2"/>
  <c r="J1504" i="2"/>
  <c r="I1504" i="2"/>
  <c r="H1504" i="2"/>
  <c r="E1504" i="2"/>
  <c r="D1504" i="2"/>
  <c r="F1504" i="2" s="1"/>
  <c r="C1504" i="2"/>
  <c r="B1504" i="2"/>
  <c r="G1504" i="2" s="1"/>
  <c r="A1504" i="2"/>
  <c r="K1503" i="2"/>
  <c r="J1503" i="2"/>
  <c r="I1503" i="2"/>
  <c r="H1503" i="2"/>
  <c r="E1503" i="2"/>
  <c r="D1503" i="2"/>
  <c r="C1503" i="2"/>
  <c r="B1503" i="2"/>
  <c r="A1503" i="2"/>
  <c r="K1502" i="2"/>
  <c r="J1502" i="2"/>
  <c r="I1502" i="2"/>
  <c r="H1502" i="2"/>
  <c r="L1502" i="2" s="1"/>
  <c r="E1502" i="2"/>
  <c r="D1502" i="2"/>
  <c r="F1502" i="2" s="1"/>
  <c r="G1502" i="2" s="1"/>
  <c r="M1502" i="2" s="1"/>
  <c r="C1502" i="2"/>
  <c r="B1502" i="2"/>
  <c r="A1502" i="2"/>
  <c r="K1501" i="2"/>
  <c r="J1501" i="2"/>
  <c r="I1501" i="2"/>
  <c r="H1501" i="2"/>
  <c r="L1501" i="2" s="1"/>
  <c r="E1501" i="2"/>
  <c r="D1501" i="2"/>
  <c r="C1501" i="2"/>
  <c r="F1501" i="2" s="1"/>
  <c r="G1501" i="2" s="1"/>
  <c r="M1501" i="2" s="1"/>
  <c r="B1501" i="2"/>
  <c r="A1501" i="2"/>
  <c r="K1500" i="2"/>
  <c r="J1500" i="2"/>
  <c r="L1500" i="2" s="1"/>
  <c r="I1500" i="2"/>
  <c r="H1500" i="2"/>
  <c r="E1500" i="2"/>
  <c r="D1500" i="2"/>
  <c r="C1500" i="2"/>
  <c r="F1500" i="2" s="1"/>
  <c r="B1500" i="2"/>
  <c r="A1500" i="2"/>
  <c r="K1499" i="2"/>
  <c r="J1499" i="2"/>
  <c r="I1499" i="2"/>
  <c r="H1499" i="2"/>
  <c r="L1499" i="2" s="1"/>
  <c r="E1499" i="2"/>
  <c r="D1499" i="2"/>
  <c r="C1499" i="2"/>
  <c r="F1499" i="2" s="1"/>
  <c r="G1499" i="2" s="1"/>
  <c r="M1499" i="2" s="1"/>
  <c r="B1499" i="2"/>
  <c r="A1499" i="2"/>
  <c r="K1498" i="2"/>
  <c r="J1498" i="2"/>
  <c r="I1498" i="2"/>
  <c r="H1498" i="2"/>
  <c r="L1498" i="2" s="1"/>
  <c r="F1498" i="2"/>
  <c r="E1498" i="2"/>
  <c r="D1498" i="2"/>
  <c r="C1498" i="2"/>
  <c r="B1498" i="2"/>
  <c r="G1498" i="2" s="1"/>
  <c r="M1498" i="2" s="1"/>
  <c r="A1498" i="2"/>
  <c r="K1497" i="2"/>
  <c r="J1497" i="2"/>
  <c r="I1497" i="2"/>
  <c r="L1497" i="2" s="1"/>
  <c r="H1497" i="2"/>
  <c r="F1497" i="2"/>
  <c r="E1497" i="2"/>
  <c r="D1497" i="2"/>
  <c r="C1497" i="2"/>
  <c r="B1497" i="2"/>
  <c r="G1497" i="2" s="1"/>
  <c r="A1497" i="2"/>
  <c r="L1496" i="2"/>
  <c r="K1496" i="2"/>
  <c r="J1496" i="2"/>
  <c r="I1496" i="2"/>
  <c r="H1496" i="2"/>
  <c r="E1496" i="2"/>
  <c r="D1496" i="2"/>
  <c r="C1496" i="2"/>
  <c r="B1496" i="2"/>
  <c r="A1496" i="2"/>
  <c r="K1495" i="2"/>
  <c r="J1495" i="2"/>
  <c r="I1495" i="2"/>
  <c r="H1495" i="2"/>
  <c r="L1495" i="2" s="1"/>
  <c r="G1495" i="2"/>
  <c r="M1495" i="2" s="1"/>
  <c r="E1495" i="2"/>
  <c r="D1495" i="2"/>
  <c r="C1495" i="2"/>
  <c r="F1495" i="2" s="1"/>
  <c r="B1495" i="2"/>
  <c r="A1495" i="2"/>
  <c r="K1494" i="2"/>
  <c r="J1494" i="2"/>
  <c r="I1494" i="2"/>
  <c r="H1494" i="2"/>
  <c r="L1494" i="2" s="1"/>
  <c r="E1494" i="2"/>
  <c r="D1494" i="2"/>
  <c r="F1494" i="2" s="1"/>
  <c r="C1494" i="2"/>
  <c r="B1494" i="2"/>
  <c r="G1494" i="2" s="1"/>
  <c r="M1494" i="2" s="1"/>
  <c r="A1494" i="2"/>
  <c r="K1493" i="2"/>
  <c r="J1493" i="2"/>
  <c r="I1493" i="2"/>
  <c r="H1493" i="2"/>
  <c r="L1493" i="2" s="1"/>
  <c r="E1493" i="2"/>
  <c r="D1493" i="2"/>
  <c r="C1493" i="2"/>
  <c r="B1493" i="2"/>
  <c r="A1493" i="2"/>
  <c r="K1492" i="2"/>
  <c r="J1492" i="2"/>
  <c r="I1492" i="2"/>
  <c r="H1492" i="2"/>
  <c r="L1492" i="2" s="1"/>
  <c r="F1492" i="2"/>
  <c r="G1492" i="2" s="1"/>
  <c r="M1492" i="2" s="1"/>
  <c r="E1492" i="2"/>
  <c r="D1492" i="2"/>
  <c r="C1492" i="2"/>
  <c r="B1492" i="2"/>
  <c r="A1492" i="2"/>
  <c r="K1491" i="2"/>
  <c r="J1491" i="2"/>
  <c r="I1491" i="2"/>
  <c r="H1491" i="2"/>
  <c r="L1491" i="2" s="1"/>
  <c r="G1491" i="2"/>
  <c r="M1491" i="2" s="1"/>
  <c r="E1491" i="2"/>
  <c r="D1491" i="2"/>
  <c r="C1491" i="2"/>
  <c r="F1491" i="2" s="1"/>
  <c r="B1491" i="2"/>
  <c r="A1491" i="2"/>
  <c r="K1490" i="2"/>
  <c r="J1490" i="2"/>
  <c r="L1490" i="2" s="1"/>
  <c r="I1490" i="2"/>
  <c r="H1490" i="2"/>
  <c r="G1490" i="2"/>
  <c r="M1490" i="2" s="1"/>
  <c r="E1490" i="2"/>
  <c r="D1490" i="2"/>
  <c r="C1490" i="2"/>
  <c r="F1490" i="2" s="1"/>
  <c r="B1490" i="2"/>
  <c r="A1490" i="2"/>
  <c r="K1489" i="2"/>
  <c r="J1489" i="2"/>
  <c r="I1489" i="2"/>
  <c r="H1489" i="2"/>
  <c r="E1489" i="2"/>
  <c r="D1489" i="2"/>
  <c r="C1489" i="2"/>
  <c r="F1489" i="2" s="1"/>
  <c r="G1489" i="2" s="1"/>
  <c r="B1489" i="2"/>
  <c r="A1489" i="2"/>
  <c r="K1488" i="2"/>
  <c r="J1488" i="2"/>
  <c r="I1488" i="2"/>
  <c r="H1488" i="2"/>
  <c r="E1488" i="2"/>
  <c r="D1488" i="2"/>
  <c r="C1488" i="2"/>
  <c r="F1488" i="2" s="1"/>
  <c r="B1488" i="2"/>
  <c r="A1488" i="2"/>
  <c r="K1487" i="2"/>
  <c r="L1487" i="2" s="1"/>
  <c r="J1487" i="2"/>
  <c r="I1487" i="2"/>
  <c r="H1487" i="2"/>
  <c r="E1487" i="2"/>
  <c r="D1487" i="2"/>
  <c r="C1487" i="2"/>
  <c r="F1487" i="2" s="1"/>
  <c r="B1487" i="2"/>
  <c r="A1487" i="2"/>
  <c r="L1486" i="2"/>
  <c r="K1486" i="2"/>
  <c r="J1486" i="2"/>
  <c r="I1486" i="2"/>
  <c r="H1486" i="2"/>
  <c r="E1486" i="2"/>
  <c r="D1486" i="2"/>
  <c r="F1486" i="2" s="1"/>
  <c r="C1486" i="2"/>
  <c r="B1486" i="2"/>
  <c r="A1486" i="2"/>
  <c r="K1485" i="2"/>
  <c r="J1485" i="2"/>
  <c r="I1485" i="2"/>
  <c r="H1485" i="2"/>
  <c r="L1485" i="2" s="1"/>
  <c r="E1485" i="2"/>
  <c r="D1485" i="2"/>
  <c r="C1485" i="2"/>
  <c r="B1485" i="2"/>
  <c r="A1485" i="2"/>
  <c r="K1484" i="2"/>
  <c r="J1484" i="2"/>
  <c r="I1484" i="2"/>
  <c r="H1484" i="2"/>
  <c r="L1484" i="2" s="1"/>
  <c r="F1484" i="2"/>
  <c r="E1484" i="2"/>
  <c r="D1484" i="2"/>
  <c r="C1484" i="2"/>
  <c r="B1484" i="2"/>
  <c r="A1484" i="2"/>
  <c r="K1483" i="2"/>
  <c r="J1483" i="2"/>
  <c r="I1483" i="2"/>
  <c r="H1483" i="2"/>
  <c r="L1483" i="2" s="1"/>
  <c r="E1483" i="2"/>
  <c r="D1483" i="2"/>
  <c r="C1483" i="2"/>
  <c r="B1483" i="2"/>
  <c r="A1483" i="2"/>
  <c r="K1482" i="2"/>
  <c r="J1482" i="2"/>
  <c r="I1482" i="2"/>
  <c r="H1482" i="2"/>
  <c r="L1482" i="2" s="1"/>
  <c r="F1482" i="2"/>
  <c r="G1482" i="2" s="1"/>
  <c r="M1482" i="2" s="1"/>
  <c r="E1482" i="2"/>
  <c r="D1482" i="2"/>
  <c r="C1482" i="2"/>
  <c r="B1482" i="2"/>
  <c r="A1482" i="2"/>
  <c r="K1481" i="2"/>
  <c r="J1481" i="2"/>
  <c r="I1481" i="2"/>
  <c r="H1481" i="2"/>
  <c r="E1481" i="2"/>
  <c r="D1481" i="2"/>
  <c r="C1481" i="2"/>
  <c r="B1481" i="2"/>
  <c r="A1481" i="2"/>
  <c r="K1480" i="2"/>
  <c r="J1480" i="2"/>
  <c r="L1480" i="2" s="1"/>
  <c r="I1480" i="2"/>
  <c r="H1480" i="2"/>
  <c r="E1480" i="2"/>
  <c r="D1480" i="2"/>
  <c r="C1480" i="2"/>
  <c r="F1480" i="2" s="1"/>
  <c r="B1480" i="2"/>
  <c r="A1480" i="2"/>
  <c r="K1479" i="2"/>
  <c r="J1479" i="2"/>
  <c r="I1479" i="2"/>
  <c r="H1479" i="2"/>
  <c r="E1479" i="2"/>
  <c r="D1479" i="2"/>
  <c r="C1479" i="2"/>
  <c r="F1479" i="2" s="1"/>
  <c r="G1479" i="2" s="1"/>
  <c r="B1479" i="2"/>
  <c r="A1479" i="2"/>
  <c r="K1478" i="2"/>
  <c r="J1478" i="2"/>
  <c r="I1478" i="2"/>
  <c r="H1478" i="2"/>
  <c r="L1478" i="2" s="1"/>
  <c r="E1478" i="2"/>
  <c r="D1478" i="2"/>
  <c r="F1478" i="2" s="1"/>
  <c r="C1478" i="2"/>
  <c r="B1478" i="2"/>
  <c r="A1478" i="2"/>
  <c r="K1477" i="2"/>
  <c r="J1477" i="2"/>
  <c r="I1477" i="2"/>
  <c r="L1477" i="2" s="1"/>
  <c r="H1477" i="2"/>
  <c r="E1477" i="2"/>
  <c r="D1477" i="2"/>
  <c r="C1477" i="2"/>
  <c r="F1477" i="2" s="1"/>
  <c r="G1477" i="2" s="1"/>
  <c r="B1477" i="2"/>
  <c r="A1477" i="2"/>
  <c r="L1476" i="2"/>
  <c r="K1476" i="2"/>
  <c r="J1476" i="2"/>
  <c r="I1476" i="2"/>
  <c r="H1476" i="2"/>
  <c r="E1476" i="2"/>
  <c r="F1476" i="2" s="1"/>
  <c r="D1476" i="2"/>
  <c r="C1476" i="2"/>
  <c r="B1476" i="2"/>
  <c r="A1476" i="2"/>
  <c r="K1475" i="2"/>
  <c r="L1475" i="2" s="1"/>
  <c r="J1475" i="2"/>
  <c r="I1475" i="2"/>
  <c r="H1475" i="2"/>
  <c r="E1475" i="2"/>
  <c r="D1475" i="2"/>
  <c r="C1475" i="2"/>
  <c r="F1475" i="2" s="1"/>
  <c r="B1475" i="2"/>
  <c r="G1475" i="2" s="1"/>
  <c r="A1475" i="2"/>
  <c r="L1474" i="2"/>
  <c r="K1474" i="2"/>
  <c r="J1474" i="2"/>
  <c r="I1474" i="2"/>
  <c r="H1474" i="2"/>
  <c r="E1474" i="2"/>
  <c r="D1474" i="2"/>
  <c r="F1474" i="2" s="1"/>
  <c r="C1474" i="2"/>
  <c r="B1474" i="2"/>
  <c r="A1474" i="2"/>
  <c r="K1473" i="2"/>
  <c r="J1473" i="2"/>
  <c r="I1473" i="2"/>
  <c r="H1473" i="2"/>
  <c r="L1473" i="2" s="1"/>
  <c r="E1473" i="2"/>
  <c r="D1473" i="2"/>
  <c r="C1473" i="2"/>
  <c r="B1473" i="2"/>
  <c r="A1473" i="2"/>
  <c r="K1472" i="2"/>
  <c r="J1472" i="2"/>
  <c r="I1472" i="2"/>
  <c r="H1472" i="2"/>
  <c r="L1472" i="2" s="1"/>
  <c r="G1472" i="2"/>
  <c r="M1472" i="2" s="1"/>
  <c r="E1472" i="2"/>
  <c r="D1472" i="2"/>
  <c r="F1472" i="2" s="1"/>
  <c r="C1472" i="2"/>
  <c r="B1472" i="2"/>
  <c r="A1472" i="2"/>
  <c r="K1471" i="2"/>
  <c r="J1471" i="2"/>
  <c r="I1471" i="2"/>
  <c r="H1471" i="2"/>
  <c r="E1471" i="2"/>
  <c r="D1471" i="2"/>
  <c r="C1471" i="2"/>
  <c r="B1471" i="2"/>
  <c r="A1471" i="2"/>
  <c r="K1470" i="2"/>
  <c r="J1470" i="2"/>
  <c r="I1470" i="2"/>
  <c r="H1470" i="2"/>
  <c r="L1470" i="2" s="1"/>
  <c r="E1470" i="2"/>
  <c r="D1470" i="2"/>
  <c r="C1470" i="2"/>
  <c r="F1470" i="2" s="1"/>
  <c r="B1470" i="2"/>
  <c r="A1470" i="2"/>
  <c r="K1469" i="2"/>
  <c r="J1469" i="2"/>
  <c r="I1469" i="2"/>
  <c r="H1469" i="2"/>
  <c r="E1469" i="2"/>
  <c r="D1469" i="2"/>
  <c r="C1469" i="2"/>
  <c r="F1469" i="2" s="1"/>
  <c r="G1469" i="2" s="1"/>
  <c r="B1469" i="2"/>
  <c r="A1469" i="2"/>
  <c r="K1468" i="2"/>
  <c r="J1468" i="2"/>
  <c r="I1468" i="2"/>
  <c r="H1468" i="2"/>
  <c r="L1468" i="2" s="1"/>
  <c r="E1468" i="2"/>
  <c r="D1468" i="2"/>
  <c r="C1468" i="2"/>
  <c r="F1468" i="2" s="1"/>
  <c r="B1468" i="2"/>
  <c r="G1468" i="2" s="1"/>
  <c r="M1468" i="2" s="1"/>
  <c r="A1468" i="2"/>
  <c r="K1467" i="2"/>
  <c r="J1467" i="2"/>
  <c r="I1467" i="2"/>
  <c r="L1467" i="2" s="1"/>
  <c r="H1467" i="2"/>
  <c r="E1467" i="2"/>
  <c r="F1467" i="2" s="1"/>
  <c r="G1467" i="2" s="1"/>
  <c r="M1467" i="2" s="1"/>
  <c r="D1467" i="2"/>
  <c r="C1467" i="2"/>
  <c r="B1467" i="2"/>
  <c r="A1467" i="2"/>
  <c r="K1466" i="2"/>
  <c r="J1466" i="2"/>
  <c r="I1466" i="2"/>
  <c r="H1466" i="2"/>
  <c r="L1466" i="2" s="1"/>
  <c r="F1466" i="2"/>
  <c r="E1466" i="2"/>
  <c r="D1466" i="2"/>
  <c r="C1466" i="2"/>
  <c r="B1466" i="2"/>
  <c r="A1466" i="2"/>
  <c r="L1465" i="2"/>
  <c r="K1465" i="2"/>
  <c r="J1465" i="2"/>
  <c r="I1465" i="2"/>
  <c r="H1465" i="2"/>
  <c r="E1465" i="2"/>
  <c r="D1465" i="2"/>
  <c r="C1465" i="2"/>
  <c r="F1465" i="2" s="1"/>
  <c r="B1465" i="2"/>
  <c r="G1465" i="2" s="1"/>
  <c r="A1465" i="2"/>
  <c r="K1464" i="2"/>
  <c r="J1464" i="2"/>
  <c r="L1464" i="2" s="1"/>
  <c r="I1464" i="2"/>
  <c r="H1464" i="2"/>
  <c r="E1464" i="2"/>
  <c r="D1464" i="2"/>
  <c r="F1464" i="2" s="1"/>
  <c r="C1464" i="2"/>
  <c r="B1464" i="2"/>
  <c r="G1464" i="2" s="1"/>
  <c r="M1464" i="2" s="1"/>
  <c r="A1464" i="2"/>
  <c r="L1463" i="2"/>
  <c r="K1463" i="2"/>
  <c r="J1463" i="2"/>
  <c r="I1463" i="2"/>
  <c r="H1463" i="2"/>
  <c r="E1463" i="2"/>
  <c r="D1463" i="2"/>
  <c r="C1463" i="2"/>
  <c r="B1463" i="2"/>
  <c r="A1463" i="2"/>
  <c r="K1462" i="2"/>
  <c r="J1462" i="2"/>
  <c r="I1462" i="2"/>
  <c r="H1462" i="2"/>
  <c r="L1462" i="2" s="1"/>
  <c r="F1462" i="2"/>
  <c r="G1462" i="2" s="1"/>
  <c r="M1462" i="2" s="1"/>
  <c r="E1462" i="2"/>
  <c r="D1462" i="2"/>
  <c r="C1462" i="2"/>
  <c r="B1462" i="2"/>
  <c r="A1462" i="2"/>
  <c r="K1461" i="2"/>
  <c r="J1461" i="2"/>
  <c r="I1461" i="2"/>
  <c r="H1461" i="2"/>
  <c r="L1461" i="2" s="1"/>
  <c r="E1461" i="2"/>
  <c r="D1461" i="2"/>
  <c r="C1461" i="2"/>
  <c r="B1461" i="2"/>
  <c r="A1461" i="2"/>
  <c r="K1460" i="2"/>
  <c r="J1460" i="2"/>
  <c r="I1460" i="2"/>
  <c r="H1460" i="2"/>
  <c r="E1460" i="2"/>
  <c r="D1460" i="2"/>
  <c r="C1460" i="2"/>
  <c r="F1460" i="2" s="1"/>
  <c r="G1460" i="2" s="1"/>
  <c r="B1460" i="2"/>
  <c r="A1460" i="2"/>
  <c r="K1459" i="2"/>
  <c r="J1459" i="2"/>
  <c r="I1459" i="2"/>
  <c r="H1459" i="2"/>
  <c r="E1459" i="2"/>
  <c r="D1459" i="2"/>
  <c r="C1459" i="2"/>
  <c r="F1459" i="2" s="1"/>
  <c r="G1459" i="2" s="1"/>
  <c r="B1459" i="2"/>
  <c r="A1459" i="2"/>
  <c r="L1458" i="2"/>
  <c r="K1458" i="2"/>
  <c r="J1458" i="2"/>
  <c r="I1458" i="2"/>
  <c r="H1458" i="2"/>
  <c r="E1458" i="2"/>
  <c r="D1458" i="2"/>
  <c r="C1458" i="2"/>
  <c r="F1458" i="2" s="1"/>
  <c r="B1458" i="2"/>
  <c r="G1458" i="2" s="1"/>
  <c r="A1458" i="2"/>
  <c r="K1457" i="2"/>
  <c r="J1457" i="2"/>
  <c r="I1457" i="2"/>
  <c r="L1457" i="2" s="1"/>
  <c r="H1457" i="2"/>
  <c r="E1457" i="2"/>
  <c r="F1457" i="2" s="1"/>
  <c r="G1457" i="2" s="1"/>
  <c r="D1457" i="2"/>
  <c r="C1457" i="2"/>
  <c r="B1457" i="2"/>
  <c r="A1457" i="2"/>
  <c r="K1456" i="2"/>
  <c r="J1456" i="2"/>
  <c r="I1456" i="2"/>
  <c r="H1456" i="2"/>
  <c r="L1456" i="2" s="1"/>
  <c r="E1456" i="2"/>
  <c r="D1456" i="2"/>
  <c r="C1456" i="2"/>
  <c r="F1456" i="2" s="1"/>
  <c r="B1456" i="2"/>
  <c r="A1456" i="2"/>
  <c r="M1455" i="2"/>
  <c r="L1455" i="2"/>
  <c r="K1455" i="2"/>
  <c r="J1455" i="2"/>
  <c r="I1455" i="2"/>
  <c r="H1455" i="2"/>
  <c r="E1455" i="2"/>
  <c r="D1455" i="2"/>
  <c r="C1455" i="2"/>
  <c r="F1455" i="2" s="1"/>
  <c r="B1455" i="2"/>
  <c r="G1455" i="2" s="1"/>
  <c r="A1455" i="2"/>
  <c r="L1454" i="2"/>
  <c r="K1454" i="2"/>
  <c r="J1454" i="2"/>
  <c r="I1454" i="2"/>
  <c r="H1454" i="2"/>
  <c r="E1454" i="2"/>
  <c r="D1454" i="2"/>
  <c r="F1454" i="2" s="1"/>
  <c r="C1454" i="2"/>
  <c r="B1454" i="2"/>
  <c r="A1454" i="2"/>
  <c r="K1453" i="2"/>
  <c r="J1453" i="2"/>
  <c r="I1453" i="2"/>
  <c r="H1453" i="2"/>
  <c r="L1453" i="2" s="1"/>
  <c r="E1453" i="2"/>
  <c r="D1453" i="2"/>
  <c r="C1453" i="2"/>
  <c r="F1453" i="2" s="1"/>
  <c r="G1453" i="2" s="1"/>
  <c r="M1453" i="2" s="1"/>
  <c r="B1453" i="2"/>
  <c r="A1453" i="2"/>
  <c r="K1452" i="2"/>
  <c r="J1452" i="2"/>
  <c r="I1452" i="2"/>
  <c r="H1452" i="2"/>
  <c r="L1452" i="2" s="1"/>
  <c r="E1452" i="2"/>
  <c r="F1452" i="2" s="1"/>
  <c r="G1452" i="2" s="1"/>
  <c r="D1452" i="2"/>
  <c r="C1452" i="2"/>
  <c r="B1452" i="2"/>
  <c r="A1452" i="2"/>
  <c r="K1451" i="2"/>
  <c r="J1451" i="2"/>
  <c r="I1451" i="2"/>
  <c r="H1451" i="2"/>
  <c r="E1451" i="2"/>
  <c r="D1451" i="2"/>
  <c r="C1451" i="2"/>
  <c r="B1451" i="2"/>
  <c r="A1451" i="2"/>
  <c r="L1450" i="2"/>
  <c r="K1450" i="2"/>
  <c r="J1450" i="2"/>
  <c r="I1450" i="2"/>
  <c r="H1450" i="2"/>
  <c r="E1450" i="2"/>
  <c r="D1450" i="2"/>
  <c r="C1450" i="2"/>
  <c r="F1450" i="2" s="1"/>
  <c r="B1450" i="2"/>
  <c r="G1450" i="2" s="1"/>
  <c r="A1450" i="2"/>
  <c r="K1449" i="2"/>
  <c r="J1449" i="2"/>
  <c r="I1449" i="2"/>
  <c r="H1449" i="2"/>
  <c r="E1449" i="2"/>
  <c r="D1449" i="2"/>
  <c r="C1449" i="2"/>
  <c r="F1449" i="2" s="1"/>
  <c r="G1449" i="2" s="1"/>
  <c r="B1449" i="2"/>
  <c r="A1449" i="2"/>
  <c r="K1448" i="2"/>
  <c r="J1448" i="2"/>
  <c r="I1448" i="2"/>
  <c r="H1448" i="2"/>
  <c r="L1448" i="2" s="1"/>
  <c r="F1448" i="2"/>
  <c r="G1448" i="2" s="1"/>
  <c r="M1448" i="2" s="1"/>
  <c r="E1448" i="2"/>
  <c r="D1448" i="2"/>
  <c r="C1448" i="2"/>
  <c r="B1448" i="2"/>
  <c r="A1448" i="2"/>
  <c r="K1447" i="2"/>
  <c r="J1447" i="2"/>
  <c r="I1447" i="2"/>
  <c r="H1447" i="2"/>
  <c r="G1447" i="2"/>
  <c r="E1447" i="2"/>
  <c r="D1447" i="2"/>
  <c r="C1447" i="2"/>
  <c r="F1447" i="2" s="1"/>
  <c r="B1447" i="2"/>
  <c r="A1447" i="2"/>
  <c r="L1446" i="2"/>
  <c r="M1446" i="2" s="1"/>
  <c r="K1446" i="2"/>
  <c r="J1446" i="2"/>
  <c r="I1446" i="2"/>
  <c r="H1446" i="2"/>
  <c r="E1446" i="2"/>
  <c r="D1446" i="2"/>
  <c r="C1446" i="2"/>
  <c r="F1446" i="2" s="1"/>
  <c r="B1446" i="2"/>
  <c r="G1446" i="2" s="1"/>
  <c r="A1446" i="2"/>
  <c r="L1445" i="2"/>
  <c r="K1445" i="2"/>
  <c r="J1445" i="2"/>
  <c r="I1445" i="2"/>
  <c r="H1445" i="2"/>
  <c r="E1445" i="2"/>
  <c r="D1445" i="2"/>
  <c r="C1445" i="2"/>
  <c r="F1445" i="2" s="1"/>
  <c r="B1445" i="2"/>
  <c r="G1445" i="2" s="1"/>
  <c r="A1445" i="2"/>
  <c r="K1444" i="2"/>
  <c r="J1444" i="2"/>
  <c r="I1444" i="2"/>
  <c r="H1444" i="2"/>
  <c r="L1444" i="2" s="1"/>
  <c r="E1444" i="2"/>
  <c r="F1444" i="2" s="1"/>
  <c r="D1444" i="2"/>
  <c r="C1444" i="2"/>
  <c r="B1444" i="2"/>
  <c r="A1444" i="2"/>
  <c r="K1443" i="2"/>
  <c r="J1443" i="2"/>
  <c r="I1443" i="2"/>
  <c r="H1443" i="2"/>
  <c r="L1443" i="2" s="1"/>
  <c r="E1443" i="2"/>
  <c r="D1443" i="2"/>
  <c r="C1443" i="2"/>
  <c r="B1443" i="2"/>
  <c r="A1443" i="2"/>
  <c r="K1442" i="2"/>
  <c r="J1442" i="2"/>
  <c r="I1442" i="2"/>
  <c r="H1442" i="2"/>
  <c r="G1442" i="2"/>
  <c r="E1442" i="2"/>
  <c r="D1442" i="2"/>
  <c r="F1442" i="2" s="1"/>
  <c r="C1442" i="2"/>
  <c r="B1442" i="2"/>
  <c r="A1442" i="2"/>
  <c r="K1441" i="2"/>
  <c r="J1441" i="2"/>
  <c r="I1441" i="2"/>
  <c r="H1441" i="2"/>
  <c r="E1441" i="2"/>
  <c r="D1441" i="2"/>
  <c r="C1441" i="2"/>
  <c r="F1441" i="2" s="1"/>
  <c r="G1441" i="2" s="1"/>
  <c r="B1441" i="2"/>
  <c r="A1441" i="2"/>
  <c r="K1440" i="2"/>
  <c r="L1440" i="2" s="1"/>
  <c r="J1440" i="2"/>
  <c r="I1440" i="2"/>
  <c r="H1440" i="2"/>
  <c r="E1440" i="2"/>
  <c r="D1440" i="2"/>
  <c r="C1440" i="2"/>
  <c r="F1440" i="2" s="1"/>
  <c r="B1440" i="2"/>
  <c r="A1440" i="2"/>
  <c r="K1439" i="2"/>
  <c r="J1439" i="2"/>
  <c r="I1439" i="2"/>
  <c r="H1439" i="2"/>
  <c r="L1439" i="2" s="1"/>
  <c r="F1439" i="2"/>
  <c r="G1439" i="2" s="1"/>
  <c r="M1439" i="2" s="1"/>
  <c r="E1439" i="2"/>
  <c r="D1439" i="2"/>
  <c r="C1439" i="2"/>
  <c r="B1439" i="2"/>
  <c r="A1439" i="2"/>
  <c r="K1438" i="2"/>
  <c r="J1438" i="2"/>
  <c r="I1438" i="2"/>
  <c r="H1438" i="2"/>
  <c r="L1438" i="2" s="1"/>
  <c r="F1438" i="2"/>
  <c r="G1438" i="2" s="1"/>
  <c r="M1438" i="2" s="1"/>
  <c r="E1438" i="2"/>
  <c r="D1438" i="2"/>
  <c r="C1438" i="2"/>
  <c r="B1438" i="2"/>
  <c r="A1438" i="2"/>
  <c r="K1437" i="2"/>
  <c r="J1437" i="2"/>
  <c r="I1437" i="2"/>
  <c r="L1437" i="2" s="1"/>
  <c r="H1437" i="2"/>
  <c r="E1437" i="2"/>
  <c r="D1437" i="2"/>
  <c r="C1437" i="2"/>
  <c r="F1437" i="2" s="1"/>
  <c r="B1437" i="2"/>
  <c r="A1437" i="2"/>
  <c r="L1436" i="2"/>
  <c r="K1436" i="2"/>
  <c r="J1436" i="2"/>
  <c r="I1436" i="2"/>
  <c r="H1436" i="2"/>
  <c r="E1436" i="2"/>
  <c r="D1436" i="2"/>
  <c r="C1436" i="2"/>
  <c r="F1436" i="2" s="1"/>
  <c r="B1436" i="2"/>
  <c r="A1436" i="2"/>
  <c r="K1435" i="2"/>
  <c r="J1435" i="2"/>
  <c r="I1435" i="2"/>
  <c r="L1435" i="2" s="1"/>
  <c r="H1435" i="2"/>
  <c r="G1435" i="2"/>
  <c r="M1435" i="2" s="1"/>
  <c r="F1435" i="2"/>
  <c r="E1435" i="2"/>
  <c r="D1435" i="2"/>
  <c r="C1435" i="2"/>
  <c r="B1435" i="2"/>
  <c r="A1435" i="2"/>
  <c r="K1434" i="2"/>
  <c r="J1434" i="2"/>
  <c r="I1434" i="2"/>
  <c r="H1434" i="2"/>
  <c r="L1434" i="2" s="1"/>
  <c r="E1434" i="2"/>
  <c r="F1434" i="2" s="1"/>
  <c r="D1434" i="2"/>
  <c r="C1434" i="2"/>
  <c r="B1434" i="2"/>
  <c r="A1434" i="2"/>
  <c r="K1433" i="2"/>
  <c r="J1433" i="2"/>
  <c r="I1433" i="2"/>
  <c r="H1433" i="2"/>
  <c r="L1433" i="2" s="1"/>
  <c r="E1433" i="2"/>
  <c r="D1433" i="2"/>
  <c r="C1433" i="2"/>
  <c r="B1433" i="2"/>
  <c r="A1433" i="2"/>
  <c r="K1432" i="2"/>
  <c r="L1432" i="2" s="1"/>
  <c r="J1432" i="2"/>
  <c r="I1432" i="2"/>
  <c r="H1432" i="2"/>
  <c r="E1432" i="2"/>
  <c r="D1432" i="2"/>
  <c r="F1432" i="2" s="1"/>
  <c r="C1432" i="2"/>
  <c r="B1432" i="2"/>
  <c r="G1432" i="2" s="1"/>
  <c r="A1432" i="2"/>
  <c r="K1431" i="2"/>
  <c r="J1431" i="2"/>
  <c r="I1431" i="2"/>
  <c r="H1431" i="2"/>
  <c r="E1431" i="2"/>
  <c r="D1431" i="2"/>
  <c r="C1431" i="2"/>
  <c r="F1431" i="2" s="1"/>
  <c r="G1431" i="2" s="1"/>
  <c r="B1431" i="2"/>
  <c r="A1431" i="2"/>
  <c r="K1430" i="2"/>
  <c r="J1430" i="2"/>
  <c r="I1430" i="2"/>
  <c r="H1430" i="2"/>
  <c r="L1430" i="2" s="1"/>
  <c r="F1430" i="2"/>
  <c r="G1430" i="2" s="1"/>
  <c r="M1430" i="2" s="1"/>
  <c r="E1430" i="2"/>
  <c r="D1430" i="2"/>
  <c r="C1430" i="2"/>
  <c r="B1430" i="2"/>
  <c r="A1430" i="2"/>
  <c r="K1429" i="2"/>
  <c r="J1429" i="2"/>
  <c r="I1429" i="2"/>
  <c r="H1429" i="2"/>
  <c r="L1429" i="2" s="1"/>
  <c r="E1429" i="2"/>
  <c r="F1429" i="2" s="1"/>
  <c r="G1429" i="2" s="1"/>
  <c r="M1429" i="2" s="1"/>
  <c r="D1429" i="2"/>
  <c r="C1429" i="2"/>
  <c r="B1429" i="2"/>
  <c r="A1429" i="2"/>
  <c r="K1428" i="2"/>
  <c r="J1428" i="2"/>
  <c r="I1428" i="2"/>
  <c r="H1428" i="2"/>
  <c r="L1428" i="2" s="1"/>
  <c r="E1428" i="2"/>
  <c r="D1428" i="2"/>
  <c r="C1428" i="2"/>
  <c r="F1428" i="2" s="1"/>
  <c r="B1428" i="2"/>
  <c r="G1428" i="2" s="1"/>
  <c r="A1428" i="2"/>
  <c r="K1427" i="2"/>
  <c r="L1427" i="2" s="1"/>
  <c r="M1427" i="2" s="1"/>
  <c r="J1427" i="2"/>
  <c r="I1427" i="2"/>
  <c r="H1427" i="2"/>
  <c r="E1427" i="2"/>
  <c r="D1427" i="2"/>
  <c r="C1427" i="2"/>
  <c r="F1427" i="2" s="1"/>
  <c r="B1427" i="2"/>
  <c r="G1427" i="2" s="1"/>
  <c r="A1427" i="2"/>
  <c r="K1426" i="2"/>
  <c r="J1426" i="2"/>
  <c r="I1426" i="2"/>
  <c r="L1426" i="2" s="1"/>
  <c r="H1426" i="2"/>
  <c r="E1426" i="2"/>
  <c r="F1426" i="2" s="1"/>
  <c r="D1426" i="2"/>
  <c r="C1426" i="2"/>
  <c r="B1426" i="2"/>
  <c r="A1426" i="2"/>
  <c r="K1425" i="2"/>
  <c r="J1425" i="2"/>
  <c r="I1425" i="2"/>
  <c r="H1425" i="2"/>
  <c r="L1425" i="2" s="1"/>
  <c r="F1425" i="2"/>
  <c r="G1425" i="2" s="1"/>
  <c r="E1425" i="2"/>
  <c r="D1425" i="2"/>
  <c r="C1425" i="2"/>
  <c r="B1425" i="2"/>
  <c r="A1425" i="2"/>
  <c r="K1424" i="2"/>
  <c r="J1424" i="2"/>
  <c r="I1424" i="2"/>
  <c r="H1424" i="2"/>
  <c r="L1424" i="2" s="1"/>
  <c r="E1424" i="2"/>
  <c r="D1424" i="2"/>
  <c r="F1424" i="2" s="1"/>
  <c r="C1424" i="2"/>
  <c r="B1424" i="2"/>
  <c r="A1424" i="2"/>
  <c r="L1423" i="2"/>
  <c r="K1423" i="2"/>
  <c r="J1423" i="2"/>
  <c r="I1423" i="2"/>
  <c r="H1423" i="2"/>
  <c r="E1423" i="2"/>
  <c r="D1423" i="2"/>
  <c r="C1423" i="2"/>
  <c r="B1423" i="2"/>
  <c r="A1423" i="2"/>
  <c r="K1422" i="2"/>
  <c r="L1422" i="2" s="1"/>
  <c r="J1422" i="2"/>
  <c r="I1422" i="2"/>
  <c r="H1422" i="2"/>
  <c r="E1422" i="2"/>
  <c r="D1422" i="2"/>
  <c r="F1422" i="2" s="1"/>
  <c r="C1422" i="2"/>
  <c r="B1422" i="2"/>
  <c r="A1422" i="2"/>
  <c r="K1421" i="2"/>
  <c r="J1421" i="2"/>
  <c r="I1421" i="2"/>
  <c r="L1421" i="2" s="1"/>
  <c r="H1421" i="2"/>
  <c r="E1421" i="2"/>
  <c r="D1421" i="2"/>
  <c r="C1421" i="2"/>
  <c r="F1421" i="2" s="1"/>
  <c r="G1421" i="2" s="1"/>
  <c r="M1421" i="2" s="1"/>
  <c r="B1421" i="2"/>
  <c r="A1421" i="2"/>
  <c r="K1420" i="2"/>
  <c r="J1420" i="2"/>
  <c r="I1420" i="2"/>
  <c r="H1420" i="2"/>
  <c r="L1420" i="2" s="1"/>
  <c r="F1420" i="2"/>
  <c r="G1420" i="2" s="1"/>
  <c r="M1420" i="2" s="1"/>
  <c r="E1420" i="2"/>
  <c r="D1420" i="2"/>
  <c r="C1420" i="2"/>
  <c r="B1420" i="2"/>
  <c r="A1420" i="2"/>
  <c r="K1419" i="2"/>
  <c r="J1419" i="2"/>
  <c r="I1419" i="2"/>
  <c r="H1419" i="2"/>
  <c r="L1419" i="2" s="1"/>
  <c r="E1419" i="2"/>
  <c r="D1419" i="2"/>
  <c r="C1419" i="2"/>
  <c r="F1419" i="2" s="1"/>
  <c r="G1419" i="2" s="1"/>
  <c r="M1419" i="2" s="1"/>
  <c r="B1419" i="2"/>
  <c r="A1419" i="2"/>
  <c r="K1418" i="2"/>
  <c r="L1418" i="2" s="1"/>
  <c r="J1418" i="2"/>
  <c r="I1418" i="2"/>
  <c r="H1418" i="2"/>
  <c r="E1418" i="2"/>
  <c r="D1418" i="2"/>
  <c r="C1418" i="2"/>
  <c r="F1418" i="2" s="1"/>
  <c r="B1418" i="2"/>
  <c r="G1418" i="2" s="1"/>
  <c r="M1418" i="2" s="1"/>
  <c r="A1418" i="2"/>
  <c r="K1417" i="2"/>
  <c r="J1417" i="2"/>
  <c r="I1417" i="2"/>
  <c r="L1417" i="2" s="1"/>
  <c r="H1417" i="2"/>
  <c r="F1417" i="2"/>
  <c r="G1417" i="2" s="1"/>
  <c r="M1417" i="2" s="1"/>
  <c r="E1417" i="2"/>
  <c r="D1417" i="2"/>
  <c r="C1417" i="2"/>
  <c r="B1417" i="2"/>
  <c r="A1417" i="2"/>
  <c r="K1416" i="2"/>
  <c r="J1416" i="2"/>
  <c r="I1416" i="2"/>
  <c r="H1416" i="2"/>
  <c r="L1416" i="2" s="1"/>
  <c r="E1416" i="2"/>
  <c r="D1416" i="2"/>
  <c r="C1416" i="2"/>
  <c r="F1416" i="2" s="1"/>
  <c r="G1416" i="2" s="1"/>
  <c r="M1416" i="2" s="1"/>
  <c r="B1416" i="2"/>
  <c r="A1416" i="2"/>
  <c r="K1415" i="2"/>
  <c r="J1415" i="2"/>
  <c r="L1415" i="2" s="1"/>
  <c r="M1415" i="2" s="1"/>
  <c r="I1415" i="2"/>
  <c r="H1415" i="2"/>
  <c r="E1415" i="2"/>
  <c r="D1415" i="2"/>
  <c r="C1415" i="2"/>
  <c r="F1415" i="2" s="1"/>
  <c r="B1415" i="2"/>
  <c r="G1415" i="2" s="1"/>
  <c r="A1415" i="2"/>
  <c r="K1414" i="2"/>
  <c r="J1414" i="2"/>
  <c r="I1414" i="2"/>
  <c r="H1414" i="2"/>
  <c r="L1414" i="2" s="1"/>
  <c r="E1414" i="2"/>
  <c r="D1414" i="2"/>
  <c r="C1414" i="2"/>
  <c r="B1414" i="2"/>
  <c r="A1414" i="2"/>
  <c r="K1413" i="2"/>
  <c r="J1413" i="2"/>
  <c r="I1413" i="2"/>
  <c r="H1413" i="2"/>
  <c r="L1413" i="2" s="1"/>
  <c r="E1413" i="2"/>
  <c r="F1413" i="2" s="1"/>
  <c r="G1413" i="2" s="1"/>
  <c r="M1413" i="2" s="1"/>
  <c r="D1413" i="2"/>
  <c r="C1413" i="2"/>
  <c r="B1413" i="2"/>
  <c r="A1413" i="2"/>
  <c r="K1412" i="2"/>
  <c r="J1412" i="2"/>
  <c r="I1412" i="2"/>
  <c r="H1412" i="2"/>
  <c r="L1412" i="2" s="1"/>
  <c r="E1412" i="2"/>
  <c r="D1412" i="2"/>
  <c r="F1412" i="2" s="1"/>
  <c r="G1412" i="2" s="1"/>
  <c r="M1412" i="2" s="1"/>
  <c r="C1412" i="2"/>
  <c r="B1412" i="2"/>
  <c r="A1412" i="2"/>
  <c r="K1411" i="2"/>
  <c r="J1411" i="2"/>
  <c r="L1411" i="2" s="1"/>
  <c r="I1411" i="2"/>
  <c r="H1411" i="2"/>
  <c r="E1411" i="2"/>
  <c r="D1411" i="2"/>
  <c r="C1411" i="2"/>
  <c r="B1411" i="2"/>
  <c r="A1411" i="2"/>
  <c r="L1410" i="2"/>
  <c r="K1410" i="2"/>
  <c r="J1410" i="2"/>
  <c r="I1410" i="2"/>
  <c r="H1410" i="2"/>
  <c r="E1410" i="2"/>
  <c r="D1410" i="2"/>
  <c r="C1410" i="2"/>
  <c r="B1410" i="2"/>
  <c r="A1410" i="2"/>
  <c r="K1409" i="2"/>
  <c r="J1409" i="2"/>
  <c r="I1409" i="2"/>
  <c r="H1409" i="2"/>
  <c r="F1409" i="2"/>
  <c r="G1409" i="2" s="1"/>
  <c r="E1409" i="2"/>
  <c r="D1409" i="2"/>
  <c r="C1409" i="2"/>
  <c r="B1409" i="2"/>
  <c r="A1409" i="2"/>
  <c r="K1408" i="2"/>
  <c r="J1408" i="2"/>
  <c r="I1408" i="2"/>
  <c r="H1408" i="2"/>
  <c r="G1408" i="2"/>
  <c r="E1408" i="2"/>
  <c r="D1408" i="2"/>
  <c r="C1408" i="2"/>
  <c r="F1408" i="2" s="1"/>
  <c r="B1408" i="2"/>
  <c r="A1408" i="2"/>
  <c r="L1407" i="2"/>
  <c r="K1407" i="2"/>
  <c r="J1407" i="2"/>
  <c r="I1407" i="2"/>
  <c r="H1407" i="2"/>
  <c r="E1407" i="2"/>
  <c r="D1407" i="2"/>
  <c r="C1407" i="2"/>
  <c r="F1407" i="2" s="1"/>
  <c r="B1407" i="2"/>
  <c r="A1407" i="2"/>
  <c r="K1406" i="2"/>
  <c r="J1406" i="2"/>
  <c r="I1406" i="2"/>
  <c r="H1406" i="2"/>
  <c r="L1406" i="2" s="1"/>
  <c r="E1406" i="2"/>
  <c r="D1406" i="2"/>
  <c r="C1406" i="2"/>
  <c r="F1406" i="2" s="1"/>
  <c r="G1406" i="2" s="1"/>
  <c r="M1406" i="2" s="1"/>
  <c r="B1406" i="2"/>
  <c r="A1406" i="2"/>
  <c r="K1405" i="2"/>
  <c r="J1405" i="2"/>
  <c r="I1405" i="2"/>
  <c r="H1405" i="2"/>
  <c r="F1405" i="2"/>
  <c r="G1405" i="2" s="1"/>
  <c r="E1405" i="2"/>
  <c r="D1405" i="2"/>
  <c r="C1405" i="2"/>
  <c r="B1405" i="2"/>
  <c r="A1405" i="2"/>
  <c r="K1404" i="2"/>
  <c r="L1404" i="2" s="1"/>
  <c r="J1404" i="2"/>
  <c r="I1404" i="2"/>
  <c r="H1404" i="2"/>
  <c r="E1404" i="2"/>
  <c r="D1404" i="2"/>
  <c r="C1404" i="2"/>
  <c r="F1404" i="2" s="1"/>
  <c r="B1404" i="2"/>
  <c r="A1404" i="2"/>
  <c r="K1403" i="2"/>
  <c r="L1403" i="2" s="1"/>
  <c r="J1403" i="2"/>
  <c r="I1403" i="2"/>
  <c r="H1403" i="2"/>
  <c r="E1403" i="2"/>
  <c r="D1403" i="2"/>
  <c r="C1403" i="2"/>
  <c r="F1403" i="2" s="1"/>
  <c r="B1403" i="2"/>
  <c r="G1403" i="2" s="1"/>
  <c r="M1403" i="2" s="1"/>
  <c r="A1403" i="2"/>
  <c r="K1402" i="2"/>
  <c r="J1402" i="2"/>
  <c r="I1402" i="2"/>
  <c r="H1402" i="2"/>
  <c r="L1402" i="2" s="1"/>
  <c r="E1402" i="2"/>
  <c r="F1402" i="2" s="1"/>
  <c r="G1402" i="2" s="1"/>
  <c r="M1402" i="2" s="1"/>
  <c r="D1402" i="2"/>
  <c r="C1402" i="2"/>
  <c r="B1402" i="2"/>
  <c r="A1402" i="2"/>
  <c r="K1401" i="2"/>
  <c r="J1401" i="2"/>
  <c r="I1401" i="2"/>
  <c r="H1401" i="2"/>
  <c r="E1401" i="2"/>
  <c r="D1401" i="2"/>
  <c r="C1401" i="2"/>
  <c r="B1401" i="2"/>
  <c r="A1401" i="2"/>
  <c r="K1400" i="2"/>
  <c r="J1400" i="2"/>
  <c r="I1400" i="2"/>
  <c r="H1400" i="2"/>
  <c r="L1400" i="2" s="1"/>
  <c r="E1400" i="2"/>
  <c r="D1400" i="2"/>
  <c r="C1400" i="2"/>
  <c r="F1400" i="2" s="1"/>
  <c r="B1400" i="2"/>
  <c r="A1400" i="2"/>
  <c r="K1399" i="2"/>
  <c r="J1399" i="2"/>
  <c r="I1399" i="2"/>
  <c r="H1399" i="2"/>
  <c r="E1399" i="2"/>
  <c r="D1399" i="2"/>
  <c r="C1399" i="2"/>
  <c r="F1399" i="2" s="1"/>
  <c r="G1399" i="2" s="1"/>
  <c r="B1399" i="2"/>
  <c r="A1399" i="2"/>
  <c r="K1398" i="2"/>
  <c r="J1398" i="2"/>
  <c r="I1398" i="2"/>
  <c r="H1398" i="2"/>
  <c r="L1398" i="2" s="1"/>
  <c r="E1398" i="2"/>
  <c r="D1398" i="2"/>
  <c r="C1398" i="2"/>
  <c r="F1398" i="2" s="1"/>
  <c r="G1398" i="2" s="1"/>
  <c r="B1398" i="2"/>
  <c r="A1398" i="2"/>
  <c r="K1397" i="2"/>
  <c r="J1397" i="2"/>
  <c r="I1397" i="2"/>
  <c r="L1397" i="2" s="1"/>
  <c r="H1397" i="2"/>
  <c r="F1397" i="2"/>
  <c r="G1397" i="2" s="1"/>
  <c r="E1397" i="2"/>
  <c r="D1397" i="2"/>
  <c r="C1397" i="2"/>
  <c r="B1397" i="2"/>
  <c r="A1397" i="2"/>
  <c r="K1396" i="2"/>
  <c r="J1396" i="2"/>
  <c r="I1396" i="2"/>
  <c r="L1396" i="2" s="1"/>
  <c r="H1396" i="2"/>
  <c r="E1396" i="2"/>
  <c r="D1396" i="2"/>
  <c r="C1396" i="2"/>
  <c r="F1396" i="2" s="1"/>
  <c r="B1396" i="2"/>
  <c r="G1396" i="2" s="1"/>
  <c r="A1396" i="2"/>
  <c r="L1395" i="2"/>
  <c r="K1395" i="2"/>
  <c r="J1395" i="2"/>
  <c r="I1395" i="2"/>
  <c r="H1395" i="2"/>
  <c r="E1395" i="2"/>
  <c r="D1395" i="2"/>
  <c r="C1395" i="2"/>
  <c r="F1395" i="2" s="1"/>
  <c r="B1395" i="2"/>
  <c r="G1395" i="2" s="1"/>
  <c r="A1395" i="2"/>
  <c r="K1394" i="2"/>
  <c r="J1394" i="2"/>
  <c r="I1394" i="2"/>
  <c r="H1394" i="2"/>
  <c r="L1394" i="2" s="1"/>
  <c r="E1394" i="2"/>
  <c r="D1394" i="2"/>
  <c r="F1394" i="2" s="1"/>
  <c r="C1394" i="2"/>
  <c r="B1394" i="2"/>
  <c r="A1394" i="2"/>
  <c r="K1393" i="2"/>
  <c r="J1393" i="2"/>
  <c r="I1393" i="2"/>
  <c r="H1393" i="2"/>
  <c r="L1393" i="2" s="1"/>
  <c r="E1393" i="2"/>
  <c r="D1393" i="2"/>
  <c r="C1393" i="2"/>
  <c r="F1393" i="2" s="1"/>
  <c r="G1393" i="2" s="1"/>
  <c r="M1393" i="2" s="1"/>
  <c r="B1393" i="2"/>
  <c r="A1393" i="2"/>
  <c r="K1392" i="2"/>
  <c r="J1392" i="2"/>
  <c r="I1392" i="2"/>
  <c r="L1392" i="2" s="1"/>
  <c r="H1392" i="2"/>
  <c r="E1392" i="2"/>
  <c r="D1392" i="2"/>
  <c r="F1392" i="2" s="1"/>
  <c r="C1392" i="2"/>
  <c r="B1392" i="2"/>
  <c r="G1392" i="2" s="1"/>
  <c r="A1392" i="2"/>
  <c r="L1391" i="2"/>
  <c r="K1391" i="2"/>
  <c r="J1391" i="2"/>
  <c r="I1391" i="2"/>
  <c r="H1391" i="2"/>
  <c r="E1391" i="2"/>
  <c r="D1391" i="2"/>
  <c r="C1391" i="2"/>
  <c r="B1391" i="2"/>
  <c r="A1391" i="2"/>
  <c r="L1390" i="2"/>
  <c r="K1390" i="2"/>
  <c r="J1390" i="2"/>
  <c r="I1390" i="2"/>
  <c r="H1390" i="2"/>
  <c r="E1390" i="2"/>
  <c r="D1390" i="2"/>
  <c r="F1390" i="2" s="1"/>
  <c r="G1390" i="2" s="1"/>
  <c r="M1390" i="2" s="1"/>
  <c r="C1390" i="2"/>
  <c r="B1390" i="2"/>
  <c r="A1390" i="2"/>
  <c r="K1389" i="2"/>
  <c r="J1389" i="2"/>
  <c r="I1389" i="2"/>
  <c r="H1389" i="2"/>
  <c r="L1389" i="2" s="1"/>
  <c r="F1389" i="2"/>
  <c r="G1389" i="2" s="1"/>
  <c r="M1389" i="2" s="1"/>
  <c r="E1389" i="2"/>
  <c r="D1389" i="2"/>
  <c r="C1389" i="2"/>
  <c r="B1389" i="2"/>
  <c r="A1389" i="2"/>
  <c r="K1388" i="2"/>
  <c r="L1388" i="2" s="1"/>
  <c r="J1388" i="2"/>
  <c r="I1388" i="2"/>
  <c r="H1388" i="2"/>
  <c r="E1388" i="2"/>
  <c r="D1388" i="2"/>
  <c r="C1388" i="2"/>
  <c r="F1388" i="2" s="1"/>
  <c r="B1388" i="2"/>
  <c r="G1388" i="2" s="1"/>
  <c r="A1388" i="2"/>
  <c r="L1387" i="2"/>
  <c r="K1387" i="2"/>
  <c r="J1387" i="2"/>
  <c r="I1387" i="2"/>
  <c r="H1387" i="2"/>
  <c r="E1387" i="2"/>
  <c r="D1387" i="2"/>
  <c r="C1387" i="2"/>
  <c r="F1387" i="2" s="1"/>
  <c r="B1387" i="2"/>
  <c r="G1387" i="2" s="1"/>
  <c r="M1387" i="2" s="1"/>
  <c r="A1387" i="2"/>
  <c r="K1386" i="2"/>
  <c r="J1386" i="2"/>
  <c r="I1386" i="2"/>
  <c r="H1386" i="2"/>
  <c r="L1386" i="2" s="1"/>
  <c r="E1386" i="2"/>
  <c r="F1386" i="2" s="1"/>
  <c r="G1386" i="2" s="1"/>
  <c r="M1386" i="2" s="1"/>
  <c r="D1386" i="2"/>
  <c r="C1386" i="2"/>
  <c r="B1386" i="2"/>
  <c r="A1386" i="2"/>
  <c r="K1385" i="2"/>
  <c r="J1385" i="2"/>
  <c r="I1385" i="2"/>
  <c r="H1385" i="2"/>
  <c r="E1385" i="2"/>
  <c r="D1385" i="2"/>
  <c r="C1385" i="2"/>
  <c r="F1385" i="2" s="1"/>
  <c r="B1385" i="2"/>
  <c r="G1385" i="2" s="1"/>
  <c r="A1385" i="2"/>
  <c r="K1384" i="2"/>
  <c r="L1384" i="2" s="1"/>
  <c r="M1384" i="2" s="1"/>
  <c r="J1384" i="2"/>
  <c r="I1384" i="2"/>
  <c r="H1384" i="2"/>
  <c r="E1384" i="2"/>
  <c r="D1384" i="2"/>
  <c r="C1384" i="2"/>
  <c r="F1384" i="2" s="1"/>
  <c r="B1384" i="2"/>
  <c r="G1384" i="2" s="1"/>
  <c r="A1384" i="2"/>
  <c r="K1383" i="2"/>
  <c r="J1383" i="2"/>
  <c r="I1383" i="2"/>
  <c r="H1383" i="2"/>
  <c r="L1383" i="2" s="1"/>
  <c r="E1383" i="2"/>
  <c r="D1383" i="2"/>
  <c r="C1383" i="2"/>
  <c r="F1383" i="2" s="1"/>
  <c r="G1383" i="2" s="1"/>
  <c r="M1383" i="2" s="1"/>
  <c r="B1383" i="2"/>
  <c r="A1383" i="2"/>
  <c r="K1382" i="2"/>
  <c r="J1382" i="2"/>
  <c r="I1382" i="2"/>
  <c r="H1382" i="2"/>
  <c r="L1382" i="2" s="1"/>
  <c r="E1382" i="2"/>
  <c r="F1382" i="2" s="1"/>
  <c r="G1382" i="2" s="1"/>
  <c r="M1382" i="2" s="1"/>
  <c r="D1382" i="2"/>
  <c r="C1382" i="2"/>
  <c r="B1382" i="2"/>
  <c r="A1382" i="2"/>
  <c r="K1381" i="2"/>
  <c r="J1381" i="2"/>
  <c r="I1381" i="2"/>
  <c r="H1381" i="2"/>
  <c r="E1381" i="2"/>
  <c r="D1381" i="2"/>
  <c r="C1381" i="2"/>
  <c r="B1381" i="2"/>
  <c r="A1381" i="2"/>
  <c r="L1380" i="2"/>
  <c r="K1380" i="2"/>
  <c r="J1380" i="2"/>
  <c r="I1380" i="2"/>
  <c r="H1380" i="2"/>
  <c r="E1380" i="2"/>
  <c r="D1380" i="2"/>
  <c r="C1380" i="2"/>
  <c r="F1380" i="2" s="1"/>
  <c r="B1380" i="2"/>
  <c r="G1380" i="2" s="1"/>
  <c r="M1380" i="2" s="1"/>
  <c r="A1380" i="2"/>
  <c r="K1379" i="2"/>
  <c r="J1379" i="2"/>
  <c r="I1379" i="2"/>
  <c r="H1379" i="2"/>
  <c r="E1379" i="2"/>
  <c r="D1379" i="2"/>
  <c r="C1379" i="2"/>
  <c r="F1379" i="2" s="1"/>
  <c r="G1379" i="2" s="1"/>
  <c r="B1379" i="2"/>
  <c r="A1379" i="2"/>
  <c r="K1378" i="2"/>
  <c r="J1378" i="2"/>
  <c r="I1378" i="2"/>
  <c r="H1378" i="2"/>
  <c r="L1378" i="2" s="1"/>
  <c r="G1378" i="2"/>
  <c r="M1378" i="2" s="1"/>
  <c r="F1378" i="2"/>
  <c r="E1378" i="2"/>
  <c r="D1378" i="2"/>
  <c r="C1378" i="2"/>
  <c r="B1378" i="2"/>
  <c r="A1378" i="2"/>
  <c r="K1377" i="2"/>
  <c r="J1377" i="2"/>
  <c r="I1377" i="2"/>
  <c r="H1377" i="2"/>
  <c r="F1377" i="2"/>
  <c r="E1377" i="2"/>
  <c r="D1377" i="2"/>
  <c r="C1377" i="2"/>
  <c r="B1377" i="2"/>
  <c r="G1377" i="2" s="1"/>
  <c r="A1377" i="2"/>
  <c r="L1376" i="2"/>
  <c r="K1376" i="2"/>
  <c r="J1376" i="2"/>
  <c r="I1376" i="2"/>
  <c r="H1376" i="2"/>
  <c r="E1376" i="2"/>
  <c r="D1376" i="2"/>
  <c r="C1376" i="2"/>
  <c r="B1376" i="2"/>
  <c r="A1376" i="2"/>
  <c r="L1375" i="2"/>
  <c r="K1375" i="2"/>
  <c r="J1375" i="2"/>
  <c r="I1375" i="2"/>
  <c r="H1375" i="2"/>
  <c r="F1375" i="2"/>
  <c r="G1375" i="2" s="1"/>
  <c r="M1375" i="2" s="1"/>
  <c r="E1375" i="2"/>
  <c r="D1375" i="2"/>
  <c r="C1375" i="2"/>
  <c r="B1375" i="2"/>
  <c r="A1375" i="2"/>
  <c r="K1374" i="2"/>
  <c r="J1374" i="2"/>
  <c r="I1374" i="2"/>
  <c r="H1374" i="2"/>
  <c r="L1374" i="2" s="1"/>
  <c r="E1374" i="2"/>
  <c r="D1374" i="2"/>
  <c r="C1374" i="2"/>
  <c r="F1374" i="2" s="1"/>
  <c r="G1374" i="2" s="1"/>
  <c r="M1374" i="2" s="1"/>
  <c r="B1374" i="2"/>
  <c r="A1374" i="2"/>
  <c r="K1373" i="2"/>
  <c r="J1373" i="2"/>
  <c r="L1373" i="2" s="1"/>
  <c r="M1373" i="2" s="1"/>
  <c r="I1373" i="2"/>
  <c r="H1373" i="2"/>
  <c r="E1373" i="2"/>
  <c r="D1373" i="2"/>
  <c r="C1373" i="2"/>
  <c r="F1373" i="2" s="1"/>
  <c r="B1373" i="2"/>
  <c r="G1373" i="2" s="1"/>
  <c r="A1373" i="2"/>
  <c r="K1372" i="2"/>
  <c r="J1372" i="2"/>
  <c r="I1372" i="2"/>
  <c r="H1372" i="2"/>
  <c r="L1372" i="2" s="1"/>
  <c r="E1372" i="2"/>
  <c r="F1372" i="2" s="1"/>
  <c r="G1372" i="2" s="1"/>
  <c r="M1372" i="2" s="1"/>
  <c r="D1372" i="2"/>
  <c r="C1372" i="2"/>
  <c r="B1372" i="2"/>
  <c r="A1372" i="2"/>
  <c r="K1371" i="2"/>
  <c r="J1371" i="2"/>
  <c r="I1371" i="2"/>
  <c r="H1371" i="2"/>
  <c r="F1371" i="2"/>
  <c r="G1371" i="2" s="1"/>
  <c r="E1371" i="2"/>
  <c r="D1371" i="2"/>
  <c r="C1371" i="2"/>
  <c r="B1371" i="2"/>
  <c r="A1371" i="2"/>
  <c r="K1370" i="2"/>
  <c r="J1370" i="2"/>
  <c r="I1370" i="2"/>
  <c r="L1370" i="2" s="1"/>
  <c r="H1370" i="2"/>
  <c r="E1370" i="2"/>
  <c r="D1370" i="2"/>
  <c r="F1370" i="2" s="1"/>
  <c r="C1370" i="2"/>
  <c r="B1370" i="2"/>
  <c r="G1370" i="2" s="1"/>
  <c r="A1370" i="2"/>
  <c r="L1369" i="2"/>
  <c r="K1369" i="2"/>
  <c r="J1369" i="2"/>
  <c r="I1369" i="2"/>
  <c r="H1369" i="2"/>
  <c r="E1369" i="2"/>
  <c r="D1369" i="2"/>
  <c r="C1369" i="2"/>
  <c r="B1369" i="2"/>
  <c r="A1369" i="2"/>
  <c r="K1368" i="2"/>
  <c r="J1368" i="2"/>
  <c r="I1368" i="2"/>
  <c r="H1368" i="2"/>
  <c r="L1368" i="2" s="1"/>
  <c r="E1368" i="2"/>
  <c r="F1368" i="2" s="1"/>
  <c r="G1368" i="2" s="1"/>
  <c r="M1368" i="2" s="1"/>
  <c r="D1368" i="2"/>
  <c r="C1368" i="2"/>
  <c r="B1368" i="2"/>
  <c r="A1368" i="2"/>
  <c r="K1367" i="2"/>
  <c r="J1367" i="2"/>
  <c r="I1367" i="2"/>
  <c r="H1367" i="2"/>
  <c r="L1367" i="2" s="1"/>
  <c r="E1367" i="2"/>
  <c r="D1367" i="2"/>
  <c r="C1367" i="2"/>
  <c r="F1367" i="2" s="1"/>
  <c r="B1367" i="2"/>
  <c r="G1367" i="2" s="1"/>
  <c r="A1367" i="2"/>
  <c r="K1366" i="2"/>
  <c r="L1366" i="2" s="1"/>
  <c r="J1366" i="2"/>
  <c r="I1366" i="2"/>
  <c r="H1366" i="2"/>
  <c r="E1366" i="2"/>
  <c r="D1366" i="2"/>
  <c r="C1366" i="2"/>
  <c r="B1366" i="2"/>
  <c r="A1366" i="2"/>
  <c r="K1365" i="2"/>
  <c r="J1365" i="2"/>
  <c r="I1365" i="2"/>
  <c r="L1365" i="2" s="1"/>
  <c r="H1365" i="2"/>
  <c r="F1365" i="2"/>
  <c r="G1365" i="2" s="1"/>
  <c r="M1365" i="2" s="1"/>
  <c r="E1365" i="2"/>
  <c r="D1365" i="2"/>
  <c r="C1365" i="2"/>
  <c r="B1365" i="2"/>
  <c r="A1365" i="2"/>
  <c r="K1364" i="2"/>
  <c r="J1364" i="2"/>
  <c r="I1364" i="2"/>
  <c r="H1364" i="2"/>
  <c r="G1364" i="2"/>
  <c r="E1364" i="2"/>
  <c r="D1364" i="2"/>
  <c r="C1364" i="2"/>
  <c r="F1364" i="2" s="1"/>
  <c r="B1364" i="2"/>
  <c r="A1364" i="2"/>
  <c r="K1363" i="2"/>
  <c r="J1363" i="2"/>
  <c r="L1363" i="2" s="1"/>
  <c r="I1363" i="2"/>
  <c r="H1363" i="2"/>
  <c r="E1363" i="2"/>
  <c r="D1363" i="2"/>
  <c r="C1363" i="2"/>
  <c r="F1363" i="2" s="1"/>
  <c r="B1363" i="2"/>
  <c r="A1363" i="2"/>
  <c r="K1362" i="2"/>
  <c r="J1362" i="2"/>
  <c r="I1362" i="2"/>
  <c r="H1362" i="2"/>
  <c r="L1362" i="2" s="1"/>
  <c r="E1362" i="2"/>
  <c r="D1362" i="2"/>
  <c r="C1362" i="2"/>
  <c r="F1362" i="2" s="1"/>
  <c r="G1362" i="2" s="1"/>
  <c r="B1362" i="2"/>
  <c r="A1362" i="2"/>
  <c r="K1361" i="2"/>
  <c r="J1361" i="2"/>
  <c r="I1361" i="2"/>
  <c r="H1361" i="2"/>
  <c r="L1361" i="2" s="1"/>
  <c r="F1361" i="2"/>
  <c r="G1361" i="2" s="1"/>
  <c r="M1361" i="2" s="1"/>
  <c r="E1361" i="2"/>
  <c r="D1361" i="2"/>
  <c r="C1361" i="2"/>
  <c r="B1361" i="2"/>
  <c r="A1361" i="2"/>
  <c r="K1360" i="2"/>
  <c r="J1360" i="2"/>
  <c r="L1360" i="2" s="1"/>
  <c r="I1360" i="2"/>
  <c r="H1360" i="2"/>
  <c r="E1360" i="2"/>
  <c r="D1360" i="2"/>
  <c r="F1360" i="2" s="1"/>
  <c r="C1360" i="2"/>
  <c r="B1360" i="2"/>
  <c r="G1360" i="2" s="1"/>
  <c r="A1360" i="2"/>
  <c r="L1359" i="2"/>
  <c r="K1359" i="2"/>
  <c r="J1359" i="2"/>
  <c r="I1359" i="2"/>
  <c r="H1359" i="2"/>
  <c r="E1359" i="2"/>
  <c r="D1359" i="2"/>
  <c r="C1359" i="2"/>
  <c r="F1359" i="2" s="1"/>
  <c r="B1359" i="2"/>
  <c r="G1359" i="2" s="1"/>
  <c r="M1359" i="2" s="1"/>
  <c r="A1359" i="2"/>
  <c r="K1358" i="2"/>
  <c r="J1358" i="2"/>
  <c r="I1358" i="2"/>
  <c r="H1358" i="2"/>
  <c r="L1358" i="2" s="1"/>
  <c r="F1358" i="2"/>
  <c r="G1358" i="2" s="1"/>
  <c r="M1358" i="2" s="1"/>
  <c r="E1358" i="2"/>
  <c r="D1358" i="2"/>
  <c r="C1358" i="2"/>
  <c r="B1358" i="2"/>
  <c r="A1358" i="2"/>
  <c r="K1357" i="2"/>
  <c r="J1357" i="2"/>
  <c r="I1357" i="2"/>
  <c r="H1357" i="2"/>
  <c r="E1357" i="2"/>
  <c r="D1357" i="2"/>
  <c r="C1357" i="2"/>
  <c r="F1357" i="2" s="1"/>
  <c r="B1357" i="2"/>
  <c r="G1357" i="2" s="1"/>
  <c r="A1357" i="2"/>
  <c r="L1356" i="2"/>
  <c r="K1356" i="2"/>
  <c r="J1356" i="2"/>
  <c r="I1356" i="2"/>
  <c r="H1356" i="2"/>
  <c r="E1356" i="2"/>
  <c r="D1356" i="2"/>
  <c r="C1356" i="2"/>
  <c r="F1356" i="2" s="1"/>
  <c r="B1356" i="2"/>
  <c r="A1356" i="2"/>
  <c r="K1355" i="2"/>
  <c r="J1355" i="2"/>
  <c r="I1355" i="2"/>
  <c r="L1355" i="2" s="1"/>
  <c r="H1355" i="2"/>
  <c r="E1355" i="2"/>
  <c r="D1355" i="2"/>
  <c r="F1355" i="2" s="1"/>
  <c r="G1355" i="2" s="1"/>
  <c r="M1355" i="2" s="1"/>
  <c r="C1355" i="2"/>
  <c r="B1355" i="2"/>
  <c r="A1355" i="2"/>
  <c r="K1354" i="2"/>
  <c r="J1354" i="2"/>
  <c r="I1354" i="2"/>
  <c r="H1354" i="2"/>
  <c r="L1354" i="2" s="1"/>
  <c r="E1354" i="2"/>
  <c r="D1354" i="2"/>
  <c r="C1354" i="2"/>
  <c r="F1354" i="2" s="1"/>
  <c r="G1354" i="2" s="1"/>
  <c r="M1354" i="2" s="1"/>
  <c r="B1354" i="2"/>
  <c r="A1354" i="2"/>
  <c r="K1353" i="2"/>
  <c r="J1353" i="2"/>
  <c r="L1353" i="2" s="1"/>
  <c r="I1353" i="2"/>
  <c r="H1353" i="2"/>
  <c r="E1353" i="2"/>
  <c r="D1353" i="2"/>
  <c r="C1353" i="2"/>
  <c r="F1353" i="2" s="1"/>
  <c r="B1353" i="2"/>
  <c r="G1353" i="2" s="1"/>
  <c r="A1353" i="2"/>
  <c r="K1352" i="2"/>
  <c r="J1352" i="2"/>
  <c r="I1352" i="2"/>
  <c r="H1352" i="2"/>
  <c r="L1352" i="2" s="1"/>
  <c r="E1352" i="2"/>
  <c r="D1352" i="2"/>
  <c r="C1352" i="2"/>
  <c r="F1352" i="2" s="1"/>
  <c r="G1352" i="2" s="1"/>
  <c r="M1352" i="2" s="1"/>
  <c r="B1352" i="2"/>
  <c r="A1352" i="2"/>
  <c r="K1351" i="2"/>
  <c r="J1351" i="2"/>
  <c r="I1351" i="2"/>
  <c r="H1351" i="2"/>
  <c r="L1351" i="2" s="1"/>
  <c r="G1351" i="2"/>
  <c r="M1351" i="2" s="1"/>
  <c r="F1351" i="2"/>
  <c r="E1351" i="2"/>
  <c r="D1351" i="2"/>
  <c r="C1351" i="2"/>
  <c r="B1351" i="2"/>
  <c r="A1351" i="2"/>
  <c r="K1350" i="2"/>
  <c r="J1350" i="2"/>
  <c r="I1350" i="2"/>
  <c r="L1350" i="2" s="1"/>
  <c r="H1350" i="2"/>
  <c r="E1350" i="2"/>
  <c r="D1350" i="2"/>
  <c r="F1350" i="2" s="1"/>
  <c r="C1350" i="2"/>
  <c r="B1350" i="2"/>
  <c r="A1350" i="2"/>
  <c r="L1349" i="2"/>
  <c r="K1349" i="2"/>
  <c r="J1349" i="2"/>
  <c r="I1349" i="2"/>
  <c r="H1349" i="2"/>
  <c r="E1349" i="2"/>
  <c r="D1349" i="2"/>
  <c r="C1349" i="2"/>
  <c r="B1349" i="2"/>
  <c r="A1349" i="2"/>
  <c r="K1348" i="2"/>
  <c r="J1348" i="2"/>
  <c r="I1348" i="2"/>
  <c r="H1348" i="2"/>
  <c r="L1348" i="2" s="1"/>
  <c r="F1348" i="2"/>
  <c r="G1348" i="2" s="1"/>
  <c r="M1348" i="2" s="1"/>
  <c r="E1348" i="2"/>
  <c r="D1348" i="2"/>
  <c r="C1348" i="2"/>
  <c r="B1348" i="2"/>
  <c r="A1348" i="2"/>
  <c r="K1347" i="2"/>
  <c r="J1347" i="2"/>
  <c r="I1347" i="2"/>
  <c r="H1347" i="2"/>
  <c r="L1347" i="2" s="1"/>
  <c r="E1347" i="2"/>
  <c r="D1347" i="2"/>
  <c r="C1347" i="2"/>
  <c r="F1347" i="2" s="1"/>
  <c r="B1347" i="2"/>
  <c r="A1347" i="2"/>
  <c r="K1346" i="2"/>
  <c r="L1346" i="2" s="1"/>
  <c r="J1346" i="2"/>
  <c r="I1346" i="2"/>
  <c r="H1346" i="2"/>
  <c r="E1346" i="2"/>
  <c r="D1346" i="2"/>
  <c r="C1346" i="2"/>
  <c r="F1346" i="2" s="1"/>
  <c r="B1346" i="2"/>
  <c r="A1346" i="2"/>
  <c r="L1345" i="2"/>
  <c r="K1345" i="2"/>
  <c r="J1345" i="2"/>
  <c r="I1345" i="2"/>
  <c r="H1345" i="2"/>
  <c r="E1345" i="2"/>
  <c r="D1345" i="2"/>
  <c r="F1345" i="2" s="1"/>
  <c r="C1345" i="2"/>
  <c r="B1345" i="2"/>
  <c r="G1345" i="2" s="1"/>
  <c r="M1345" i="2" s="1"/>
  <c r="A1345" i="2"/>
  <c r="K1344" i="2"/>
  <c r="J1344" i="2"/>
  <c r="I1344" i="2"/>
  <c r="H1344" i="2"/>
  <c r="L1344" i="2" s="1"/>
  <c r="E1344" i="2"/>
  <c r="D1344" i="2"/>
  <c r="C1344" i="2"/>
  <c r="B1344" i="2"/>
  <c r="A1344" i="2"/>
  <c r="K1343" i="2"/>
  <c r="J1343" i="2"/>
  <c r="I1343" i="2"/>
  <c r="H1343" i="2"/>
  <c r="L1343" i="2" s="1"/>
  <c r="E1343" i="2"/>
  <c r="D1343" i="2"/>
  <c r="C1343" i="2"/>
  <c r="F1343" i="2" s="1"/>
  <c r="B1343" i="2"/>
  <c r="A1343" i="2"/>
  <c r="K1342" i="2"/>
  <c r="J1342" i="2"/>
  <c r="I1342" i="2"/>
  <c r="H1342" i="2"/>
  <c r="L1342" i="2" s="1"/>
  <c r="E1342" i="2"/>
  <c r="D1342" i="2"/>
  <c r="F1342" i="2" s="1"/>
  <c r="G1342" i="2" s="1"/>
  <c r="M1342" i="2" s="1"/>
  <c r="C1342" i="2"/>
  <c r="B1342" i="2"/>
  <c r="A1342" i="2"/>
  <c r="K1341" i="2"/>
  <c r="J1341" i="2"/>
  <c r="I1341" i="2"/>
  <c r="H1341" i="2"/>
  <c r="L1341" i="2" s="1"/>
  <c r="F1341" i="2"/>
  <c r="G1341" i="2" s="1"/>
  <c r="M1341" i="2" s="1"/>
  <c r="E1341" i="2"/>
  <c r="D1341" i="2"/>
  <c r="C1341" i="2"/>
  <c r="B1341" i="2"/>
  <c r="A1341" i="2"/>
  <c r="K1340" i="2"/>
  <c r="J1340" i="2"/>
  <c r="I1340" i="2"/>
  <c r="L1340" i="2" s="1"/>
  <c r="H1340" i="2"/>
  <c r="G1340" i="2"/>
  <c r="E1340" i="2"/>
  <c r="D1340" i="2"/>
  <c r="F1340" i="2" s="1"/>
  <c r="C1340" i="2"/>
  <c r="B1340" i="2"/>
  <c r="A1340" i="2"/>
  <c r="L1339" i="2"/>
  <c r="K1339" i="2"/>
  <c r="J1339" i="2"/>
  <c r="I1339" i="2"/>
  <c r="H1339" i="2"/>
  <c r="E1339" i="2"/>
  <c r="D1339" i="2"/>
  <c r="C1339" i="2"/>
  <c r="B1339" i="2"/>
  <c r="A1339" i="2"/>
  <c r="K1338" i="2"/>
  <c r="J1338" i="2"/>
  <c r="I1338" i="2"/>
  <c r="H1338" i="2"/>
  <c r="E1338" i="2"/>
  <c r="D1338" i="2"/>
  <c r="C1338" i="2"/>
  <c r="F1338" i="2" s="1"/>
  <c r="G1338" i="2" s="1"/>
  <c r="B1338" i="2"/>
  <c r="A1338" i="2"/>
  <c r="K1337" i="2"/>
  <c r="J1337" i="2"/>
  <c r="I1337" i="2"/>
  <c r="H1337" i="2"/>
  <c r="L1337" i="2" s="1"/>
  <c r="E1337" i="2"/>
  <c r="D1337" i="2"/>
  <c r="C1337" i="2"/>
  <c r="F1337" i="2" s="1"/>
  <c r="B1337" i="2"/>
  <c r="A1337" i="2"/>
  <c r="K1336" i="2"/>
  <c r="J1336" i="2"/>
  <c r="I1336" i="2"/>
  <c r="L1336" i="2" s="1"/>
  <c r="H1336" i="2"/>
  <c r="E1336" i="2"/>
  <c r="D1336" i="2"/>
  <c r="C1336" i="2"/>
  <c r="F1336" i="2" s="1"/>
  <c r="B1336" i="2"/>
  <c r="A1336" i="2"/>
  <c r="K1335" i="2"/>
  <c r="J1335" i="2"/>
  <c r="I1335" i="2"/>
  <c r="L1335" i="2" s="1"/>
  <c r="H1335" i="2"/>
  <c r="E1335" i="2"/>
  <c r="F1335" i="2" s="1"/>
  <c r="G1335" i="2" s="1"/>
  <c r="M1335" i="2" s="1"/>
  <c r="D1335" i="2"/>
  <c r="C1335" i="2"/>
  <c r="B1335" i="2"/>
  <c r="A1335" i="2"/>
  <c r="K1334" i="2"/>
  <c r="J1334" i="2"/>
  <c r="I1334" i="2"/>
  <c r="H1334" i="2"/>
  <c r="L1334" i="2" s="1"/>
  <c r="G1334" i="2"/>
  <c r="E1334" i="2"/>
  <c r="D1334" i="2"/>
  <c r="C1334" i="2"/>
  <c r="F1334" i="2" s="1"/>
  <c r="B1334" i="2"/>
  <c r="A1334" i="2"/>
  <c r="L1333" i="2"/>
  <c r="K1333" i="2"/>
  <c r="J1333" i="2"/>
  <c r="I1333" i="2"/>
  <c r="H1333" i="2"/>
  <c r="E1333" i="2"/>
  <c r="D1333" i="2"/>
  <c r="C1333" i="2"/>
  <c r="F1333" i="2" s="1"/>
  <c r="B1333" i="2"/>
  <c r="A1333" i="2"/>
  <c r="K1332" i="2"/>
  <c r="J1332" i="2"/>
  <c r="I1332" i="2"/>
  <c r="H1332" i="2"/>
  <c r="E1332" i="2"/>
  <c r="D1332" i="2"/>
  <c r="C1332" i="2"/>
  <c r="F1332" i="2" s="1"/>
  <c r="G1332" i="2" s="1"/>
  <c r="B1332" i="2"/>
  <c r="A1332" i="2"/>
  <c r="K1331" i="2"/>
  <c r="J1331" i="2"/>
  <c r="I1331" i="2"/>
  <c r="H1331" i="2"/>
  <c r="E1331" i="2"/>
  <c r="D1331" i="2"/>
  <c r="F1331" i="2" s="1"/>
  <c r="G1331" i="2" s="1"/>
  <c r="C1331" i="2"/>
  <c r="B1331" i="2"/>
  <c r="A1331" i="2"/>
  <c r="K1330" i="2"/>
  <c r="L1330" i="2" s="1"/>
  <c r="J1330" i="2"/>
  <c r="I1330" i="2"/>
  <c r="H1330" i="2"/>
  <c r="E1330" i="2"/>
  <c r="D1330" i="2"/>
  <c r="F1330" i="2" s="1"/>
  <c r="C1330" i="2"/>
  <c r="B1330" i="2"/>
  <c r="G1330" i="2" s="1"/>
  <c r="M1330" i="2" s="1"/>
  <c r="A1330" i="2"/>
  <c r="K1329" i="2"/>
  <c r="J1329" i="2"/>
  <c r="L1329" i="2" s="1"/>
  <c r="I1329" i="2"/>
  <c r="H1329" i="2"/>
  <c r="E1329" i="2"/>
  <c r="D1329" i="2"/>
  <c r="C1329" i="2"/>
  <c r="B1329" i="2"/>
  <c r="A1329" i="2"/>
  <c r="K1328" i="2"/>
  <c r="J1328" i="2"/>
  <c r="I1328" i="2"/>
  <c r="H1328" i="2"/>
  <c r="L1328" i="2" s="1"/>
  <c r="E1328" i="2"/>
  <c r="F1328" i="2" s="1"/>
  <c r="G1328" i="2" s="1"/>
  <c r="M1328" i="2" s="1"/>
  <c r="D1328" i="2"/>
  <c r="C1328" i="2"/>
  <c r="B1328" i="2"/>
  <c r="A1328" i="2"/>
  <c r="K1327" i="2"/>
  <c r="J1327" i="2"/>
  <c r="I1327" i="2"/>
  <c r="H1327" i="2"/>
  <c r="F1327" i="2"/>
  <c r="E1327" i="2"/>
  <c r="D1327" i="2"/>
  <c r="C1327" i="2"/>
  <c r="B1327" i="2"/>
  <c r="A1327" i="2"/>
  <c r="K1326" i="2"/>
  <c r="J1326" i="2"/>
  <c r="I1326" i="2"/>
  <c r="L1326" i="2" s="1"/>
  <c r="H1326" i="2"/>
  <c r="E1326" i="2"/>
  <c r="D1326" i="2"/>
  <c r="C1326" i="2"/>
  <c r="F1326" i="2" s="1"/>
  <c r="B1326" i="2"/>
  <c r="A1326" i="2"/>
  <c r="K1325" i="2"/>
  <c r="J1325" i="2"/>
  <c r="I1325" i="2"/>
  <c r="L1325" i="2" s="1"/>
  <c r="H1325" i="2"/>
  <c r="E1325" i="2"/>
  <c r="D1325" i="2"/>
  <c r="F1325" i="2" s="1"/>
  <c r="C1325" i="2"/>
  <c r="B1325" i="2"/>
  <c r="G1325" i="2" s="1"/>
  <c r="M1325" i="2" s="1"/>
  <c r="A1325" i="2"/>
  <c r="L1324" i="2"/>
  <c r="K1324" i="2"/>
  <c r="J1324" i="2"/>
  <c r="I1324" i="2"/>
  <c r="H1324" i="2"/>
  <c r="E1324" i="2"/>
  <c r="D1324" i="2"/>
  <c r="C1324" i="2"/>
  <c r="F1324" i="2" s="1"/>
  <c r="B1324" i="2"/>
  <c r="G1324" i="2" s="1"/>
  <c r="M1324" i="2" s="1"/>
  <c r="A1324" i="2"/>
  <c r="M1323" i="2"/>
  <c r="K1323" i="2"/>
  <c r="J1323" i="2"/>
  <c r="I1323" i="2"/>
  <c r="H1323" i="2"/>
  <c r="L1323" i="2" s="1"/>
  <c r="E1323" i="2"/>
  <c r="D1323" i="2"/>
  <c r="C1323" i="2"/>
  <c r="F1323" i="2" s="1"/>
  <c r="B1323" i="2"/>
  <c r="G1323" i="2" s="1"/>
  <c r="A1323" i="2"/>
  <c r="K1322" i="2"/>
  <c r="J1322" i="2"/>
  <c r="I1322" i="2"/>
  <c r="H1322" i="2"/>
  <c r="L1322" i="2" s="1"/>
  <c r="E1322" i="2"/>
  <c r="D1322" i="2"/>
  <c r="C1322" i="2"/>
  <c r="B1322" i="2"/>
  <c r="A1322" i="2"/>
  <c r="K1321" i="2"/>
  <c r="J1321" i="2"/>
  <c r="I1321" i="2"/>
  <c r="H1321" i="2"/>
  <c r="L1321" i="2" s="1"/>
  <c r="F1321" i="2"/>
  <c r="G1321" i="2" s="1"/>
  <c r="M1321" i="2" s="1"/>
  <c r="E1321" i="2"/>
  <c r="D1321" i="2"/>
  <c r="C1321" i="2"/>
  <c r="B1321" i="2"/>
  <c r="A1321" i="2"/>
  <c r="K1320" i="2"/>
  <c r="J1320" i="2"/>
  <c r="I1320" i="2"/>
  <c r="L1320" i="2" s="1"/>
  <c r="H1320" i="2"/>
  <c r="E1320" i="2"/>
  <c r="D1320" i="2"/>
  <c r="F1320" i="2" s="1"/>
  <c r="G1320" i="2" s="1"/>
  <c r="C1320" i="2"/>
  <c r="B1320" i="2"/>
  <c r="A1320" i="2"/>
  <c r="K1319" i="2"/>
  <c r="J1319" i="2"/>
  <c r="L1319" i="2" s="1"/>
  <c r="I1319" i="2"/>
  <c r="H1319" i="2"/>
  <c r="G1319" i="2"/>
  <c r="M1319" i="2" s="1"/>
  <c r="E1319" i="2"/>
  <c r="D1319" i="2"/>
  <c r="C1319" i="2"/>
  <c r="F1319" i="2" s="1"/>
  <c r="B1319" i="2"/>
  <c r="A1319" i="2"/>
  <c r="K1318" i="2"/>
  <c r="J1318" i="2"/>
  <c r="I1318" i="2"/>
  <c r="H1318" i="2"/>
  <c r="L1318" i="2" s="1"/>
  <c r="E1318" i="2"/>
  <c r="D1318" i="2"/>
  <c r="C1318" i="2"/>
  <c r="F1318" i="2" s="1"/>
  <c r="G1318" i="2" s="1"/>
  <c r="B1318" i="2"/>
  <c r="A1318" i="2"/>
  <c r="K1317" i="2"/>
  <c r="J1317" i="2"/>
  <c r="I1317" i="2"/>
  <c r="H1317" i="2"/>
  <c r="E1317" i="2"/>
  <c r="D1317" i="2"/>
  <c r="C1317" i="2"/>
  <c r="F1317" i="2" s="1"/>
  <c r="B1317" i="2"/>
  <c r="G1317" i="2" s="1"/>
  <c r="A1317" i="2"/>
  <c r="L1316" i="2"/>
  <c r="K1316" i="2"/>
  <c r="J1316" i="2"/>
  <c r="I1316" i="2"/>
  <c r="H1316" i="2"/>
  <c r="E1316" i="2"/>
  <c r="D1316" i="2"/>
  <c r="C1316" i="2"/>
  <c r="B1316" i="2"/>
  <c r="A1316" i="2"/>
  <c r="K1315" i="2"/>
  <c r="J1315" i="2"/>
  <c r="I1315" i="2"/>
  <c r="L1315" i="2" s="1"/>
  <c r="H1315" i="2"/>
  <c r="F1315" i="2"/>
  <c r="G1315" i="2" s="1"/>
  <c r="M1315" i="2" s="1"/>
  <c r="E1315" i="2"/>
  <c r="D1315" i="2"/>
  <c r="C1315" i="2"/>
  <c r="B1315" i="2"/>
  <c r="A1315" i="2"/>
  <c r="K1314" i="2"/>
  <c r="J1314" i="2"/>
  <c r="I1314" i="2"/>
  <c r="H1314" i="2"/>
  <c r="L1314" i="2" s="1"/>
  <c r="E1314" i="2"/>
  <c r="D1314" i="2"/>
  <c r="C1314" i="2"/>
  <c r="B1314" i="2"/>
  <c r="A1314" i="2"/>
  <c r="K1313" i="2"/>
  <c r="J1313" i="2"/>
  <c r="I1313" i="2"/>
  <c r="H1313" i="2"/>
  <c r="L1313" i="2" s="1"/>
  <c r="G1313" i="2"/>
  <c r="M1313" i="2" s="1"/>
  <c r="E1313" i="2"/>
  <c r="D1313" i="2"/>
  <c r="C1313" i="2"/>
  <c r="F1313" i="2" s="1"/>
  <c r="B1313" i="2"/>
  <c r="A1313" i="2"/>
  <c r="K1312" i="2"/>
  <c r="J1312" i="2"/>
  <c r="I1312" i="2"/>
  <c r="H1312" i="2"/>
  <c r="L1312" i="2" s="1"/>
  <c r="E1312" i="2"/>
  <c r="D1312" i="2"/>
  <c r="C1312" i="2"/>
  <c r="F1312" i="2" s="1"/>
  <c r="G1312" i="2" s="1"/>
  <c r="M1312" i="2" s="1"/>
  <c r="B1312" i="2"/>
  <c r="A1312" i="2"/>
  <c r="K1311" i="2"/>
  <c r="J1311" i="2"/>
  <c r="I1311" i="2"/>
  <c r="H1311" i="2"/>
  <c r="E1311" i="2"/>
  <c r="D1311" i="2"/>
  <c r="C1311" i="2"/>
  <c r="F1311" i="2" s="1"/>
  <c r="G1311" i="2" s="1"/>
  <c r="B1311" i="2"/>
  <c r="A1311" i="2"/>
  <c r="K1310" i="2"/>
  <c r="J1310" i="2"/>
  <c r="I1310" i="2"/>
  <c r="L1310" i="2" s="1"/>
  <c r="H1310" i="2"/>
  <c r="E1310" i="2"/>
  <c r="D1310" i="2"/>
  <c r="C1310" i="2"/>
  <c r="F1310" i="2" s="1"/>
  <c r="G1310" i="2" s="1"/>
  <c r="M1310" i="2" s="1"/>
  <c r="B1310" i="2"/>
  <c r="A1310" i="2"/>
  <c r="K1309" i="2"/>
  <c r="J1309" i="2"/>
  <c r="I1309" i="2"/>
  <c r="L1309" i="2" s="1"/>
  <c r="H1309" i="2"/>
  <c r="F1309" i="2"/>
  <c r="G1309" i="2" s="1"/>
  <c r="M1309" i="2" s="1"/>
  <c r="E1309" i="2"/>
  <c r="D1309" i="2"/>
  <c r="C1309" i="2"/>
  <c r="B1309" i="2"/>
  <c r="A1309" i="2"/>
  <c r="L1308" i="2"/>
  <c r="K1308" i="2"/>
  <c r="J1308" i="2"/>
  <c r="I1308" i="2"/>
  <c r="H1308" i="2"/>
  <c r="E1308" i="2"/>
  <c r="D1308" i="2"/>
  <c r="C1308" i="2"/>
  <c r="F1308" i="2" s="1"/>
  <c r="B1308" i="2"/>
  <c r="G1308" i="2" s="1"/>
  <c r="M1308" i="2" s="1"/>
  <c r="A1308" i="2"/>
  <c r="L1307" i="2"/>
  <c r="K1307" i="2"/>
  <c r="J1307" i="2"/>
  <c r="I1307" i="2"/>
  <c r="H1307" i="2"/>
  <c r="E1307" i="2"/>
  <c r="D1307" i="2"/>
  <c r="C1307" i="2"/>
  <c r="F1307" i="2" s="1"/>
  <c r="B1307" i="2"/>
  <c r="A1307" i="2"/>
  <c r="K1306" i="2"/>
  <c r="J1306" i="2"/>
  <c r="I1306" i="2"/>
  <c r="H1306" i="2"/>
  <c r="L1306" i="2" s="1"/>
  <c r="E1306" i="2"/>
  <c r="D1306" i="2"/>
  <c r="C1306" i="2"/>
  <c r="F1306" i="2" s="1"/>
  <c r="B1306" i="2"/>
  <c r="A1306" i="2"/>
  <c r="K1305" i="2"/>
  <c r="J1305" i="2"/>
  <c r="I1305" i="2"/>
  <c r="H1305" i="2"/>
  <c r="L1305" i="2" s="1"/>
  <c r="E1305" i="2"/>
  <c r="F1305" i="2" s="1"/>
  <c r="G1305" i="2" s="1"/>
  <c r="M1305" i="2" s="1"/>
  <c r="D1305" i="2"/>
  <c r="C1305" i="2"/>
  <c r="B1305" i="2"/>
  <c r="A1305" i="2"/>
  <c r="K1304" i="2"/>
  <c r="J1304" i="2"/>
  <c r="I1304" i="2"/>
  <c r="H1304" i="2"/>
  <c r="G1304" i="2"/>
  <c r="E1304" i="2"/>
  <c r="D1304" i="2"/>
  <c r="C1304" i="2"/>
  <c r="F1304" i="2" s="1"/>
  <c r="B1304" i="2"/>
  <c r="A1304" i="2"/>
  <c r="L1303" i="2"/>
  <c r="K1303" i="2"/>
  <c r="J1303" i="2"/>
  <c r="I1303" i="2"/>
  <c r="H1303" i="2"/>
  <c r="E1303" i="2"/>
  <c r="D1303" i="2"/>
  <c r="C1303" i="2"/>
  <c r="B1303" i="2"/>
  <c r="A1303" i="2"/>
  <c r="K1302" i="2"/>
  <c r="J1302" i="2"/>
  <c r="I1302" i="2"/>
  <c r="H1302" i="2"/>
  <c r="E1302" i="2"/>
  <c r="D1302" i="2"/>
  <c r="C1302" i="2"/>
  <c r="F1302" i="2" s="1"/>
  <c r="G1302" i="2" s="1"/>
  <c r="B1302" i="2"/>
  <c r="A1302" i="2"/>
  <c r="M1301" i="2"/>
  <c r="K1301" i="2"/>
  <c r="J1301" i="2"/>
  <c r="I1301" i="2"/>
  <c r="H1301" i="2"/>
  <c r="L1301" i="2" s="1"/>
  <c r="E1301" i="2"/>
  <c r="D1301" i="2"/>
  <c r="C1301" i="2"/>
  <c r="F1301" i="2" s="1"/>
  <c r="G1301" i="2" s="1"/>
  <c r="B1301" i="2"/>
  <c r="A1301" i="2"/>
  <c r="K1300" i="2"/>
  <c r="J1300" i="2"/>
  <c r="I1300" i="2"/>
  <c r="L1300" i="2" s="1"/>
  <c r="H1300" i="2"/>
  <c r="F1300" i="2"/>
  <c r="G1300" i="2" s="1"/>
  <c r="E1300" i="2"/>
  <c r="D1300" i="2"/>
  <c r="C1300" i="2"/>
  <c r="B1300" i="2"/>
  <c r="A1300" i="2"/>
  <c r="K1299" i="2"/>
  <c r="J1299" i="2"/>
  <c r="I1299" i="2"/>
  <c r="L1299" i="2" s="1"/>
  <c r="H1299" i="2"/>
  <c r="E1299" i="2"/>
  <c r="D1299" i="2"/>
  <c r="C1299" i="2"/>
  <c r="F1299" i="2" s="1"/>
  <c r="B1299" i="2"/>
  <c r="G1299" i="2" s="1"/>
  <c r="M1299" i="2" s="1"/>
  <c r="A1299" i="2"/>
  <c r="L1298" i="2"/>
  <c r="K1298" i="2"/>
  <c r="J1298" i="2"/>
  <c r="I1298" i="2"/>
  <c r="H1298" i="2"/>
  <c r="E1298" i="2"/>
  <c r="D1298" i="2"/>
  <c r="C1298" i="2"/>
  <c r="F1298" i="2" s="1"/>
  <c r="B1298" i="2"/>
  <c r="G1298" i="2" s="1"/>
  <c r="M1298" i="2" s="1"/>
  <c r="A1298" i="2"/>
  <c r="K1297" i="2"/>
  <c r="J1297" i="2"/>
  <c r="I1297" i="2"/>
  <c r="H1297" i="2"/>
  <c r="L1297" i="2" s="1"/>
  <c r="E1297" i="2"/>
  <c r="D1297" i="2"/>
  <c r="C1297" i="2"/>
  <c r="F1297" i="2" s="1"/>
  <c r="B1297" i="2"/>
  <c r="A1297" i="2"/>
  <c r="K1296" i="2"/>
  <c r="J1296" i="2"/>
  <c r="I1296" i="2"/>
  <c r="H1296" i="2"/>
  <c r="L1296" i="2" s="1"/>
  <c r="E1296" i="2"/>
  <c r="F1296" i="2" s="1"/>
  <c r="D1296" i="2"/>
  <c r="C1296" i="2"/>
  <c r="B1296" i="2"/>
  <c r="A1296" i="2"/>
  <c r="K1295" i="2"/>
  <c r="J1295" i="2"/>
  <c r="I1295" i="2"/>
  <c r="H1295" i="2"/>
  <c r="G1295" i="2"/>
  <c r="E1295" i="2"/>
  <c r="D1295" i="2"/>
  <c r="F1295" i="2" s="1"/>
  <c r="C1295" i="2"/>
  <c r="B1295" i="2"/>
  <c r="A1295" i="2"/>
  <c r="K1294" i="2"/>
  <c r="J1294" i="2"/>
  <c r="L1294" i="2" s="1"/>
  <c r="M1294" i="2" s="1"/>
  <c r="I1294" i="2"/>
  <c r="H1294" i="2"/>
  <c r="E1294" i="2"/>
  <c r="D1294" i="2"/>
  <c r="C1294" i="2"/>
  <c r="F1294" i="2" s="1"/>
  <c r="B1294" i="2"/>
  <c r="G1294" i="2" s="1"/>
  <c r="A1294" i="2"/>
  <c r="L1293" i="2"/>
  <c r="K1293" i="2"/>
  <c r="J1293" i="2"/>
  <c r="I1293" i="2"/>
  <c r="H1293" i="2"/>
  <c r="E1293" i="2"/>
  <c r="D1293" i="2"/>
  <c r="C1293" i="2"/>
  <c r="F1293" i="2" s="1"/>
  <c r="B1293" i="2"/>
  <c r="G1293" i="2" s="1"/>
  <c r="A1293" i="2"/>
  <c r="K1292" i="2"/>
  <c r="J1292" i="2"/>
  <c r="I1292" i="2"/>
  <c r="H1292" i="2"/>
  <c r="L1292" i="2" s="1"/>
  <c r="G1292" i="2"/>
  <c r="M1292" i="2" s="1"/>
  <c r="E1292" i="2"/>
  <c r="D1292" i="2"/>
  <c r="F1292" i="2" s="1"/>
  <c r="C1292" i="2"/>
  <c r="B1292" i="2"/>
  <c r="A1292" i="2"/>
  <c r="K1291" i="2"/>
  <c r="J1291" i="2"/>
  <c r="I1291" i="2"/>
  <c r="H1291" i="2"/>
  <c r="G1291" i="2"/>
  <c r="E1291" i="2"/>
  <c r="D1291" i="2"/>
  <c r="C1291" i="2"/>
  <c r="F1291" i="2" s="1"/>
  <c r="B1291" i="2"/>
  <c r="A1291" i="2"/>
  <c r="K1290" i="2"/>
  <c r="J1290" i="2"/>
  <c r="L1290" i="2" s="1"/>
  <c r="M1290" i="2" s="1"/>
  <c r="I1290" i="2"/>
  <c r="H1290" i="2"/>
  <c r="E1290" i="2"/>
  <c r="D1290" i="2"/>
  <c r="C1290" i="2"/>
  <c r="F1290" i="2" s="1"/>
  <c r="B1290" i="2"/>
  <c r="G1290" i="2" s="1"/>
  <c r="A1290" i="2"/>
  <c r="K1289" i="2"/>
  <c r="J1289" i="2"/>
  <c r="I1289" i="2"/>
  <c r="H1289" i="2"/>
  <c r="L1289" i="2" s="1"/>
  <c r="E1289" i="2"/>
  <c r="D1289" i="2"/>
  <c r="C1289" i="2"/>
  <c r="F1289" i="2" s="1"/>
  <c r="G1289" i="2" s="1"/>
  <c r="M1289" i="2" s="1"/>
  <c r="B1289" i="2"/>
  <c r="A1289" i="2"/>
  <c r="K1288" i="2"/>
  <c r="J1288" i="2"/>
  <c r="I1288" i="2"/>
  <c r="H1288" i="2"/>
  <c r="L1288" i="2" s="1"/>
  <c r="G1288" i="2"/>
  <c r="F1288" i="2"/>
  <c r="E1288" i="2"/>
  <c r="D1288" i="2"/>
  <c r="C1288" i="2"/>
  <c r="B1288" i="2"/>
  <c r="A1288" i="2"/>
  <c r="L1287" i="2"/>
  <c r="K1287" i="2"/>
  <c r="J1287" i="2"/>
  <c r="I1287" i="2"/>
  <c r="H1287" i="2"/>
  <c r="E1287" i="2"/>
  <c r="D1287" i="2"/>
  <c r="C1287" i="2"/>
  <c r="F1287" i="2" s="1"/>
  <c r="B1287" i="2"/>
  <c r="A1287" i="2"/>
  <c r="L1286" i="2"/>
  <c r="K1286" i="2"/>
  <c r="J1286" i="2"/>
  <c r="I1286" i="2"/>
  <c r="H1286" i="2"/>
  <c r="E1286" i="2"/>
  <c r="D1286" i="2"/>
  <c r="C1286" i="2"/>
  <c r="F1286" i="2" s="1"/>
  <c r="B1286" i="2"/>
  <c r="A1286" i="2"/>
  <c r="K1285" i="2"/>
  <c r="J1285" i="2"/>
  <c r="I1285" i="2"/>
  <c r="H1285" i="2"/>
  <c r="L1285" i="2" s="1"/>
  <c r="E1285" i="2"/>
  <c r="D1285" i="2"/>
  <c r="F1285" i="2" s="1"/>
  <c r="G1285" i="2" s="1"/>
  <c r="M1285" i="2" s="1"/>
  <c r="C1285" i="2"/>
  <c r="B1285" i="2"/>
  <c r="A1285" i="2"/>
  <c r="K1284" i="2"/>
  <c r="J1284" i="2"/>
  <c r="I1284" i="2"/>
  <c r="H1284" i="2"/>
  <c r="E1284" i="2"/>
  <c r="D1284" i="2"/>
  <c r="C1284" i="2"/>
  <c r="B1284" i="2"/>
  <c r="A1284" i="2"/>
  <c r="K1283" i="2"/>
  <c r="J1283" i="2"/>
  <c r="I1283" i="2"/>
  <c r="H1283" i="2"/>
  <c r="E1283" i="2"/>
  <c r="D1283" i="2"/>
  <c r="C1283" i="2"/>
  <c r="F1283" i="2" s="1"/>
  <c r="B1283" i="2"/>
  <c r="G1283" i="2" s="1"/>
  <c r="A1283" i="2"/>
  <c r="K1282" i="2"/>
  <c r="J1282" i="2"/>
  <c r="I1282" i="2"/>
  <c r="H1282" i="2"/>
  <c r="E1282" i="2"/>
  <c r="D1282" i="2"/>
  <c r="C1282" i="2"/>
  <c r="F1282" i="2" s="1"/>
  <c r="G1282" i="2" s="1"/>
  <c r="B1282" i="2"/>
  <c r="A1282" i="2"/>
  <c r="K1281" i="2"/>
  <c r="J1281" i="2"/>
  <c r="I1281" i="2"/>
  <c r="H1281" i="2"/>
  <c r="L1281" i="2" s="1"/>
  <c r="E1281" i="2"/>
  <c r="D1281" i="2"/>
  <c r="C1281" i="2"/>
  <c r="F1281" i="2" s="1"/>
  <c r="G1281" i="2" s="1"/>
  <c r="M1281" i="2" s="1"/>
  <c r="B1281" i="2"/>
  <c r="A1281" i="2"/>
  <c r="K1280" i="2"/>
  <c r="J1280" i="2"/>
  <c r="I1280" i="2"/>
  <c r="L1280" i="2" s="1"/>
  <c r="H1280" i="2"/>
  <c r="G1280" i="2"/>
  <c r="F1280" i="2"/>
  <c r="E1280" i="2"/>
  <c r="D1280" i="2"/>
  <c r="C1280" i="2"/>
  <c r="B1280" i="2"/>
  <c r="A1280" i="2"/>
  <c r="L1279" i="2"/>
  <c r="K1279" i="2"/>
  <c r="J1279" i="2"/>
  <c r="I1279" i="2"/>
  <c r="H1279" i="2"/>
  <c r="E1279" i="2"/>
  <c r="D1279" i="2"/>
  <c r="C1279" i="2"/>
  <c r="F1279" i="2" s="1"/>
  <c r="B1279" i="2"/>
  <c r="A1279" i="2"/>
  <c r="M1278" i="2"/>
  <c r="L1278" i="2"/>
  <c r="K1278" i="2"/>
  <c r="J1278" i="2"/>
  <c r="I1278" i="2"/>
  <c r="H1278" i="2"/>
  <c r="E1278" i="2"/>
  <c r="D1278" i="2"/>
  <c r="C1278" i="2"/>
  <c r="F1278" i="2" s="1"/>
  <c r="B1278" i="2"/>
  <c r="G1278" i="2" s="1"/>
  <c r="A1278" i="2"/>
  <c r="K1277" i="2"/>
  <c r="J1277" i="2"/>
  <c r="I1277" i="2"/>
  <c r="H1277" i="2"/>
  <c r="L1277" i="2" s="1"/>
  <c r="E1277" i="2"/>
  <c r="D1277" i="2"/>
  <c r="F1277" i="2" s="1"/>
  <c r="C1277" i="2"/>
  <c r="B1277" i="2"/>
  <c r="A1277" i="2"/>
  <c r="K1276" i="2"/>
  <c r="J1276" i="2"/>
  <c r="I1276" i="2"/>
  <c r="H1276" i="2"/>
  <c r="L1276" i="2" s="1"/>
  <c r="E1276" i="2"/>
  <c r="D1276" i="2"/>
  <c r="C1276" i="2"/>
  <c r="F1276" i="2" s="1"/>
  <c r="G1276" i="2" s="1"/>
  <c r="M1276" i="2" s="1"/>
  <c r="B1276" i="2"/>
  <c r="A1276" i="2"/>
  <c r="L1275" i="2"/>
  <c r="K1275" i="2"/>
  <c r="J1275" i="2"/>
  <c r="I1275" i="2"/>
  <c r="H1275" i="2"/>
  <c r="E1275" i="2"/>
  <c r="D1275" i="2"/>
  <c r="F1275" i="2" s="1"/>
  <c r="C1275" i="2"/>
  <c r="B1275" i="2"/>
  <c r="G1275" i="2" s="1"/>
  <c r="A1275" i="2"/>
  <c r="L1274" i="2"/>
  <c r="K1274" i="2"/>
  <c r="J1274" i="2"/>
  <c r="I1274" i="2"/>
  <c r="H1274" i="2"/>
  <c r="E1274" i="2"/>
  <c r="D1274" i="2"/>
  <c r="C1274" i="2"/>
  <c r="B1274" i="2"/>
  <c r="A1274" i="2"/>
  <c r="K1273" i="2"/>
  <c r="J1273" i="2"/>
  <c r="I1273" i="2"/>
  <c r="H1273" i="2"/>
  <c r="L1273" i="2" s="1"/>
  <c r="E1273" i="2"/>
  <c r="D1273" i="2"/>
  <c r="F1273" i="2" s="1"/>
  <c r="G1273" i="2" s="1"/>
  <c r="M1273" i="2" s="1"/>
  <c r="C1273" i="2"/>
  <c r="B1273" i="2"/>
  <c r="A1273" i="2"/>
  <c r="K1272" i="2"/>
  <c r="J1272" i="2"/>
  <c r="I1272" i="2"/>
  <c r="H1272" i="2"/>
  <c r="F1272" i="2"/>
  <c r="G1272" i="2" s="1"/>
  <c r="E1272" i="2"/>
  <c r="D1272" i="2"/>
  <c r="C1272" i="2"/>
  <c r="B1272" i="2"/>
  <c r="A1272" i="2"/>
  <c r="L1271" i="2"/>
  <c r="K1271" i="2"/>
  <c r="J1271" i="2"/>
  <c r="I1271" i="2"/>
  <c r="H1271" i="2"/>
  <c r="E1271" i="2"/>
  <c r="D1271" i="2"/>
  <c r="C1271" i="2"/>
  <c r="F1271" i="2" s="1"/>
  <c r="B1271" i="2"/>
  <c r="G1271" i="2" s="1"/>
  <c r="M1271" i="2" s="1"/>
  <c r="A1271" i="2"/>
  <c r="L1270" i="2"/>
  <c r="K1270" i="2"/>
  <c r="J1270" i="2"/>
  <c r="I1270" i="2"/>
  <c r="H1270" i="2"/>
  <c r="E1270" i="2"/>
  <c r="D1270" i="2"/>
  <c r="C1270" i="2"/>
  <c r="F1270" i="2" s="1"/>
  <c r="B1270" i="2"/>
  <c r="A1270" i="2"/>
  <c r="K1269" i="2"/>
  <c r="J1269" i="2"/>
  <c r="I1269" i="2"/>
  <c r="H1269" i="2"/>
  <c r="L1269" i="2" s="1"/>
  <c r="F1269" i="2"/>
  <c r="G1269" i="2" s="1"/>
  <c r="M1269" i="2" s="1"/>
  <c r="E1269" i="2"/>
  <c r="D1269" i="2"/>
  <c r="C1269" i="2"/>
  <c r="B1269" i="2"/>
  <c r="A1269" i="2"/>
  <c r="K1268" i="2"/>
  <c r="J1268" i="2"/>
  <c r="I1268" i="2"/>
  <c r="H1268" i="2"/>
  <c r="L1268" i="2" s="1"/>
  <c r="E1268" i="2"/>
  <c r="D1268" i="2"/>
  <c r="C1268" i="2"/>
  <c r="F1268" i="2" s="1"/>
  <c r="B1268" i="2"/>
  <c r="G1268" i="2" s="1"/>
  <c r="M1268" i="2" s="1"/>
  <c r="A1268" i="2"/>
  <c r="L1267" i="2"/>
  <c r="K1267" i="2"/>
  <c r="J1267" i="2"/>
  <c r="I1267" i="2"/>
  <c r="H1267" i="2"/>
  <c r="E1267" i="2"/>
  <c r="D1267" i="2"/>
  <c r="C1267" i="2"/>
  <c r="F1267" i="2" s="1"/>
  <c r="B1267" i="2"/>
  <c r="A1267" i="2"/>
  <c r="K1266" i="2"/>
  <c r="J1266" i="2"/>
  <c r="I1266" i="2"/>
  <c r="H1266" i="2"/>
  <c r="L1266" i="2" s="1"/>
  <c r="E1266" i="2"/>
  <c r="D1266" i="2"/>
  <c r="C1266" i="2"/>
  <c r="F1266" i="2" s="1"/>
  <c r="G1266" i="2" s="1"/>
  <c r="M1266" i="2" s="1"/>
  <c r="B1266" i="2"/>
  <c r="A1266" i="2"/>
  <c r="K1265" i="2"/>
  <c r="J1265" i="2"/>
  <c r="I1265" i="2"/>
  <c r="H1265" i="2"/>
  <c r="L1265" i="2" s="1"/>
  <c r="F1265" i="2"/>
  <c r="G1265" i="2" s="1"/>
  <c r="M1265" i="2" s="1"/>
  <c r="E1265" i="2"/>
  <c r="D1265" i="2"/>
  <c r="C1265" i="2"/>
  <c r="B1265" i="2"/>
  <c r="A1265" i="2"/>
  <c r="K1264" i="2"/>
  <c r="J1264" i="2"/>
  <c r="I1264" i="2"/>
  <c r="H1264" i="2"/>
  <c r="L1264" i="2" s="1"/>
  <c r="E1264" i="2"/>
  <c r="D1264" i="2"/>
  <c r="C1264" i="2"/>
  <c r="B1264" i="2"/>
  <c r="A1264" i="2"/>
  <c r="K1263" i="2"/>
  <c r="J1263" i="2"/>
  <c r="I1263" i="2"/>
  <c r="H1263" i="2"/>
  <c r="E1263" i="2"/>
  <c r="D1263" i="2"/>
  <c r="C1263" i="2"/>
  <c r="F1263" i="2" s="1"/>
  <c r="B1263" i="2"/>
  <c r="G1263" i="2" s="1"/>
  <c r="A1263" i="2"/>
  <c r="K1262" i="2"/>
  <c r="J1262" i="2"/>
  <c r="I1262" i="2"/>
  <c r="H1262" i="2"/>
  <c r="E1262" i="2"/>
  <c r="D1262" i="2"/>
  <c r="C1262" i="2"/>
  <c r="F1262" i="2" s="1"/>
  <c r="G1262" i="2" s="1"/>
  <c r="B1262" i="2"/>
  <c r="A1262" i="2"/>
  <c r="K1261" i="2"/>
  <c r="J1261" i="2"/>
  <c r="I1261" i="2"/>
  <c r="H1261" i="2"/>
  <c r="L1261" i="2" s="1"/>
  <c r="F1261" i="2"/>
  <c r="G1261" i="2" s="1"/>
  <c r="M1261" i="2" s="1"/>
  <c r="E1261" i="2"/>
  <c r="D1261" i="2"/>
  <c r="C1261" i="2"/>
  <c r="B1261" i="2"/>
  <c r="A1261" i="2"/>
  <c r="K1260" i="2"/>
  <c r="J1260" i="2"/>
  <c r="I1260" i="2"/>
  <c r="H1260" i="2"/>
  <c r="E1260" i="2"/>
  <c r="D1260" i="2"/>
  <c r="C1260" i="2"/>
  <c r="F1260" i="2" s="1"/>
  <c r="B1260" i="2"/>
  <c r="G1260" i="2" s="1"/>
  <c r="A1260" i="2"/>
  <c r="L1259" i="2"/>
  <c r="K1259" i="2"/>
  <c r="J1259" i="2"/>
  <c r="I1259" i="2"/>
  <c r="H1259" i="2"/>
  <c r="E1259" i="2"/>
  <c r="D1259" i="2"/>
  <c r="C1259" i="2"/>
  <c r="B1259" i="2"/>
  <c r="A1259" i="2"/>
  <c r="K1258" i="2"/>
  <c r="J1258" i="2"/>
  <c r="I1258" i="2"/>
  <c r="H1258" i="2"/>
  <c r="L1258" i="2" s="1"/>
  <c r="E1258" i="2"/>
  <c r="D1258" i="2"/>
  <c r="F1258" i="2" s="1"/>
  <c r="G1258" i="2" s="1"/>
  <c r="M1258" i="2" s="1"/>
  <c r="C1258" i="2"/>
  <c r="B1258" i="2"/>
  <c r="A1258" i="2"/>
  <c r="K1257" i="2"/>
  <c r="J1257" i="2"/>
  <c r="I1257" i="2"/>
  <c r="H1257" i="2"/>
  <c r="E1257" i="2"/>
  <c r="D1257" i="2"/>
  <c r="C1257" i="2"/>
  <c r="F1257" i="2" s="1"/>
  <c r="G1257" i="2" s="1"/>
  <c r="B1257" i="2"/>
  <c r="A1257" i="2"/>
  <c r="K1256" i="2"/>
  <c r="J1256" i="2"/>
  <c r="I1256" i="2"/>
  <c r="H1256" i="2"/>
  <c r="E1256" i="2"/>
  <c r="D1256" i="2"/>
  <c r="C1256" i="2"/>
  <c r="F1256" i="2" s="1"/>
  <c r="B1256" i="2"/>
  <c r="G1256" i="2" s="1"/>
  <c r="A1256" i="2"/>
  <c r="K1255" i="2"/>
  <c r="J1255" i="2"/>
  <c r="I1255" i="2"/>
  <c r="H1255" i="2"/>
  <c r="L1255" i="2" s="1"/>
  <c r="E1255" i="2"/>
  <c r="D1255" i="2"/>
  <c r="C1255" i="2"/>
  <c r="F1255" i="2" s="1"/>
  <c r="G1255" i="2" s="1"/>
  <c r="M1255" i="2" s="1"/>
  <c r="B1255" i="2"/>
  <c r="A1255" i="2"/>
  <c r="K1254" i="2"/>
  <c r="J1254" i="2"/>
  <c r="I1254" i="2"/>
  <c r="H1254" i="2"/>
  <c r="L1254" i="2" s="1"/>
  <c r="F1254" i="2"/>
  <c r="G1254" i="2" s="1"/>
  <c r="M1254" i="2" s="1"/>
  <c r="E1254" i="2"/>
  <c r="D1254" i="2"/>
  <c r="C1254" i="2"/>
  <c r="B1254" i="2"/>
  <c r="A1254" i="2"/>
  <c r="K1253" i="2"/>
  <c r="J1253" i="2"/>
  <c r="I1253" i="2"/>
  <c r="L1253" i="2" s="1"/>
  <c r="H1253" i="2"/>
  <c r="E1253" i="2"/>
  <c r="D1253" i="2"/>
  <c r="C1253" i="2"/>
  <c r="F1253" i="2" s="1"/>
  <c r="B1253" i="2"/>
  <c r="A1253" i="2"/>
  <c r="L1252" i="2"/>
  <c r="K1252" i="2"/>
  <c r="J1252" i="2"/>
  <c r="I1252" i="2"/>
  <c r="H1252" i="2"/>
  <c r="E1252" i="2"/>
  <c r="D1252" i="2"/>
  <c r="C1252" i="2"/>
  <c r="B1252" i="2"/>
  <c r="A1252" i="2"/>
  <c r="K1251" i="2"/>
  <c r="J1251" i="2"/>
  <c r="I1251" i="2"/>
  <c r="H1251" i="2"/>
  <c r="L1251" i="2" s="1"/>
  <c r="E1251" i="2"/>
  <c r="F1251" i="2" s="1"/>
  <c r="G1251" i="2" s="1"/>
  <c r="M1251" i="2" s="1"/>
  <c r="D1251" i="2"/>
  <c r="C1251" i="2"/>
  <c r="B1251" i="2"/>
  <c r="A1251" i="2"/>
  <c r="K1250" i="2"/>
  <c r="J1250" i="2"/>
  <c r="I1250" i="2"/>
  <c r="H1250" i="2"/>
  <c r="L1250" i="2" s="1"/>
  <c r="E1250" i="2"/>
  <c r="D1250" i="2"/>
  <c r="C1250" i="2"/>
  <c r="F1250" i="2" s="1"/>
  <c r="B1250" i="2"/>
  <c r="A1250" i="2"/>
  <c r="L1249" i="2"/>
  <c r="K1249" i="2"/>
  <c r="J1249" i="2"/>
  <c r="I1249" i="2"/>
  <c r="H1249" i="2"/>
  <c r="E1249" i="2"/>
  <c r="D1249" i="2"/>
  <c r="C1249" i="2"/>
  <c r="F1249" i="2" s="1"/>
  <c r="B1249" i="2"/>
  <c r="A1249" i="2"/>
  <c r="K1248" i="2"/>
  <c r="J1248" i="2"/>
  <c r="I1248" i="2"/>
  <c r="H1248" i="2"/>
  <c r="L1248" i="2" s="1"/>
  <c r="E1248" i="2"/>
  <c r="D1248" i="2"/>
  <c r="F1248" i="2" s="1"/>
  <c r="G1248" i="2" s="1"/>
  <c r="M1248" i="2" s="1"/>
  <c r="C1248" i="2"/>
  <c r="B1248" i="2"/>
  <c r="A1248" i="2"/>
  <c r="K1247" i="2"/>
  <c r="J1247" i="2"/>
  <c r="I1247" i="2"/>
  <c r="H1247" i="2"/>
  <c r="L1247" i="2" s="1"/>
  <c r="E1247" i="2"/>
  <c r="D1247" i="2"/>
  <c r="C1247" i="2"/>
  <c r="F1247" i="2" s="1"/>
  <c r="G1247" i="2" s="1"/>
  <c r="M1247" i="2" s="1"/>
  <c r="B1247" i="2"/>
  <c r="A1247" i="2"/>
  <c r="K1246" i="2"/>
  <c r="J1246" i="2"/>
  <c r="L1246" i="2" s="1"/>
  <c r="I1246" i="2"/>
  <c r="H1246" i="2"/>
  <c r="E1246" i="2"/>
  <c r="D1246" i="2"/>
  <c r="C1246" i="2"/>
  <c r="F1246" i="2" s="1"/>
  <c r="B1246" i="2"/>
  <c r="A1246" i="2"/>
  <c r="K1245" i="2"/>
  <c r="J1245" i="2"/>
  <c r="I1245" i="2"/>
  <c r="H1245" i="2"/>
  <c r="L1245" i="2" s="1"/>
  <c r="E1245" i="2"/>
  <c r="D1245" i="2"/>
  <c r="F1245" i="2" s="1"/>
  <c r="G1245" i="2" s="1"/>
  <c r="M1245" i="2" s="1"/>
  <c r="C1245" i="2"/>
  <c r="B1245" i="2"/>
  <c r="A1245" i="2"/>
  <c r="K1244" i="2"/>
  <c r="J1244" i="2"/>
  <c r="I1244" i="2"/>
  <c r="H1244" i="2"/>
  <c r="L1244" i="2" s="1"/>
  <c r="F1244" i="2"/>
  <c r="G1244" i="2" s="1"/>
  <c r="M1244" i="2" s="1"/>
  <c r="E1244" i="2"/>
  <c r="D1244" i="2"/>
  <c r="C1244" i="2"/>
  <c r="B1244" i="2"/>
  <c r="A1244" i="2"/>
  <c r="K1243" i="2"/>
  <c r="J1243" i="2"/>
  <c r="I1243" i="2"/>
  <c r="L1243" i="2" s="1"/>
  <c r="H1243" i="2"/>
  <c r="E1243" i="2"/>
  <c r="D1243" i="2"/>
  <c r="C1243" i="2"/>
  <c r="F1243" i="2" s="1"/>
  <c r="B1243" i="2"/>
  <c r="A1243" i="2"/>
  <c r="L1242" i="2"/>
  <c r="K1242" i="2"/>
  <c r="J1242" i="2"/>
  <c r="I1242" i="2"/>
  <c r="H1242" i="2"/>
  <c r="E1242" i="2"/>
  <c r="D1242" i="2"/>
  <c r="C1242" i="2"/>
  <c r="B1242" i="2"/>
  <c r="A1242" i="2"/>
  <c r="K1241" i="2"/>
  <c r="J1241" i="2"/>
  <c r="I1241" i="2"/>
  <c r="H1241" i="2"/>
  <c r="L1241" i="2" s="1"/>
  <c r="F1241" i="2"/>
  <c r="G1241" i="2" s="1"/>
  <c r="M1241" i="2" s="1"/>
  <c r="E1241" i="2"/>
  <c r="D1241" i="2"/>
  <c r="C1241" i="2"/>
  <c r="B1241" i="2"/>
  <c r="A1241" i="2"/>
  <c r="K1240" i="2"/>
  <c r="J1240" i="2"/>
  <c r="I1240" i="2"/>
  <c r="H1240" i="2"/>
  <c r="L1240" i="2" s="1"/>
  <c r="E1240" i="2"/>
  <c r="D1240" i="2"/>
  <c r="C1240" i="2"/>
  <c r="F1240" i="2" s="1"/>
  <c r="B1240" i="2"/>
  <c r="A1240" i="2"/>
  <c r="K1239" i="2"/>
  <c r="L1239" i="2" s="1"/>
  <c r="J1239" i="2"/>
  <c r="I1239" i="2"/>
  <c r="H1239" i="2"/>
  <c r="E1239" i="2"/>
  <c r="D1239" i="2"/>
  <c r="C1239" i="2"/>
  <c r="F1239" i="2" s="1"/>
  <c r="B1239" i="2"/>
  <c r="A1239" i="2"/>
  <c r="K1238" i="2"/>
  <c r="J1238" i="2"/>
  <c r="I1238" i="2"/>
  <c r="H1238" i="2"/>
  <c r="L1238" i="2" s="1"/>
  <c r="E1238" i="2"/>
  <c r="D1238" i="2"/>
  <c r="C1238" i="2"/>
  <c r="B1238" i="2"/>
  <c r="A1238" i="2"/>
  <c r="K1237" i="2"/>
  <c r="J1237" i="2"/>
  <c r="I1237" i="2"/>
  <c r="H1237" i="2"/>
  <c r="L1237" i="2" s="1"/>
  <c r="G1237" i="2"/>
  <c r="M1237" i="2" s="1"/>
  <c r="E1237" i="2"/>
  <c r="D1237" i="2"/>
  <c r="C1237" i="2"/>
  <c r="F1237" i="2" s="1"/>
  <c r="B1237" i="2"/>
  <c r="A1237" i="2"/>
  <c r="K1236" i="2"/>
  <c r="J1236" i="2"/>
  <c r="L1236" i="2" s="1"/>
  <c r="I1236" i="2"/>
  <c r="H1236" i="2"/>
  <c r="E1236" i="2"/>
  <c r="D1236" i="2"/>
  <c r="C1236" i="2"/>
  <c r="F1236" i="2" s="1"/>
  <c r="B1236" i="2"/>
  <c r="A1236" i="2"/>
  <c r="K1235" i="2"/>
  <c r="J1235" i="2"/>
  <c r="I1235" i="2"/>
  <c r="H1235" i="2"/>
  <c r="L1235" i="2" s="1"/>
  <c r="F1235" i="2"/>
  <c r="G1235" i="2" s="1"/>
  <c r="M1235" i="2" s="1"/>
  <c r="E1235" i="2"/>
  <c r="D1235" i="2"/>
  <c r="C1235" i="2"/>
  <c r="B1235" i="2"/>
  <c r="A1235" i="2"/>
  <c r="K1234" i="2"/>
  <c r="J1234" i="2"/>
  <c r="I1234" i="2"/>
  <c r="H1234" i="2"/>
  <c r="L1234" i="2" s="1"/>
  <c r="G1234" i="2"/>
  <c r="M1234" i="2" s="1"/>
  <c r="F1234" i="2"/>
  <c r="E1234" i="2"/>
  <c r="D1234" i="2"/>
  <c r="C1234" i="2"/>
  <c r="B1234" i="2"/>
  <c r="A1234" i="2"/>
  <c r="K1233" i="2"/>
  <c r="J1233" i="2"/>
  <c r="I1233" i="2"/>
  <c r="L1233" i="2" s="1"/>
  <c r="H1233" i="2"/>
  <c r="E1233" i="2"/>
  <c r="D1233" i="2"/>
  <c r="C1233" i="2"/>
  <c r="F1233" i="2" s="1"/>
  <c r="B1233" i="2"/>
  <c r="G1233" i="2" s="1"/>
  <c r="A1233" i="2"/>
  <c r="M1232" i="2"/>
  <c r="L1232" i="2"/>
  <c r="K1232" i="2"/>
  <c r="J1232" i="2"/>
  <c r="I1232" i="2"/>
  <c r="H1232" i="2"/>
  <c r="E1232" i="2"/>
  <c r="D1232" i="2"/>
  <c r="C1232" i="2"/>
  <c r="F1232" i="2" s="1"/>
  <c r="B1232" i="2"/>
  <c r="G1232" i="2" s="1"/>
  <c r="A1232" i="2"/>
  <c r="K1231" i="2"/>
  <c r="J1231" i="2"/>
  <c r="I1231" i="2"/>
  <c r="H1231" i="2"/>
  <c r="L1231" i="2" s="1"/>
  <c r="F1231" i="2"/>
  <c r="G1231" i="2" s="1"/>
  <c r="M1231" i="2" s="1"/>
  <c r="E1231" i="2"/>
  <c r="D1231" i="2"/>
  <c r="C1231" i="2"/>
  <c r="B1231" i="2"/>
  <c r="A1231" i="2"/>
  <c r="K1230" i="2"/>
  <c r="J1230" i="2"/>
  <c r="I1230" i="2"/>
  <c r="H1230" i="2"/>
  <c r="E1230" i="2"/>
  <c r="D1230" i="2"/>
  <c r="C1230" i="2"/>
  <c r="F1230" i="2" s="1"/>
  <c r="B1230" i="2"/>
  <c r="G1230" i="2" s="1"/>
  <c r="A1230" i="2"/>
  <c r="L1229" i="2"/>
  <c r="K1229" i="2"/>
  <c r="J1229" i="2"/>
  <c r="I1229" i="2"/>
  <c r="H1229" i="2"/>
  <c r="E1229" i="2"/>
  <c r="D1229" i="2"/>
  <c r="C1229" i="2"/>
  <c r="B1229" i="2"/>
  <c r="A1229" i="2"/>
  <c r="K1228" i="2"/>
  <c r="J1228" i="2"/>
  <c r="I1228" i="2"/>
  <c r="H1228" i="2"/>
  <c r="L1228" i="2" s="1"/>
  <c r="E1228" i="2"/>
  <c r="D1228" i="2"/>
  <c r="C1228" i="2"/>
  <c r="B1228" i="2"/>
  <c r="A1228" i="2"/>
  <c r="K1227" i="2"/>
  <c r="J1227" i="2"/>
  <c r="I1227" i="2"/>
  <c r="H1227" i="2"/>
  <c r="L1227" i="2" s="1"/>
  <c r="G1227" i="2"/>
  <c r="E1227" i="2"/>
  <c r="D1227" i="2"/>
  <c r="C1227" i="2"/>
  <c r="F1227" i="2" s="1"/>
  <c r="B1227" i="2"/>
  <c r="A1227" i="2"/>
  <c r="K1226" i="2"/>
  <c r="J1226" i="2"/>
  <c r="L1226" i="2" s="1"/>
  <c r="M1226" i="2" s="1"/>
  <c r="I1226" i="2"/>
  <c r="H1226" i="2"/>
  <c r="E1226" i="2"/>
  <c r="D1226" i="2"/>
  <c r="C1226" i="2"/>
  <c r="F1226" i="2" s="1"/>
  <c r="B1226" i="2"/>
  <c r="G1226" i="2" s="1"/>
  <c r="A1226" i="2"/>
  <c r="M1225" i="2"/>
  <c r="K1225" i="2"/>
  <c r="J1225" i="2"/>
  <c r="I1225" i="2"/>
  <c r="H1225" i="2"/>
  <c r="L1225" i="2" s="1"/>
  <c r="F1225" i="2"/>
  <c r="G1225" i="2" s="1"/>
  <c r="E1225" i="2"/>
  <c r="D1225" i="2"/>
  <c r="C1225" i="2"/>
  <c r="B1225" i="2"/>
  <c r="A1225" i="2"/>
  <c r="K1224" i="2"/>
  <c r="J1224" i="2"/>
  <c r="I1224" i="2"/>
  <c r="H1224" i="2"/>
  <c r="G1224" i="2"/>
  <c r="F1224" i="2"/>
  <c r="E1224" i="2"/>
  <c r="D1224" i="2"/>
  <c r="C1224" i="2"/>
  <c r="B1224" i="2"/>
  <c r="A1224" i="2"/>
  <c r="L1223" i="2"/>
  <c r="K1223" i="2"/>
  <c r="J1223" i="2"/>
  <c r="I1223" i="2"/>
  <c r="H1223" i="2"/>
  <c r="E1223" i="2"/>
  <c r="D1223" i="2"/>
  <c r="C1223" i="2"/>
  <c r="F1223" i="2" s="1"/>
  <c r="B1223" i="2"/>
  <c r="G1223" i="2" s="1"/>
  <c r="A1223" i="2"/>
  <c r="L1222" i="2"/>
  <c r="K1222" i="2"/>
  <c r="J1222" i="2"/>
  <c r="I1222" i="2"/>
  <c r="H1222" i="2"/>
  <c r="E1222" i="2"/>
  <c r="D1222" i="2"/>
  <c r="C1222" i="2"/>
  <c r="F1222" i="2" s="1"/>
  <c r="B1222" i="2"/>
  <c r="A1222" i="2"/>
  <c r="K1221" i="2"/>
  <c r="J1221" i="2"/>
  <c r="I1221" i="2"/>
  <c r="H1221" i="2"/>
  <c r="L1221" i="2" s="1"/>
  <c r="E1221" i="2"/>
  <c r="F1221" i="2" s="1"/>
  <c r="G1221" i="2" s="1"/>
  <c r="M1221" i="2" s="1"/>
  <c r="D1221" i="2"/>
  <c r="C1221" i="2"/>
  <c r="B1221" i="2"/>
  <c r="A1221" i="2"/>
  <c r="K1220" i="2"/>
  <c r="J1220" i="2"/>
  <c r="I1220" i="2"/>
  <c r="H1220" i="2"/>
  <c r="E1220" i="2"/>
  <c r="D1220" i="2"/>
  <c r="C1220" i="2"/>
  <c r="F1220" i="2" s="1"/>
  <c r="B1220" i="2"/>
  <c r="G1220" i="2" s="1"/>
  <c r="A1220" i="2"/>
  <c r="K1219" i="2"/>
  <c r="L1219" i="2" s="1"/>
  <c r="J1219" i="2"/>
  <c r="I1219" i="2"/>
  <c r="H1219" i="2"/>
  <c r="E1219" i="2"/>
  <c r="D1219" i="2"/>
  <c r="C1219" i="2"/>
  <c r="F1219" i="2" s="1"/>
  <c r="B1219" i="2"/>
  <c r="G1219" i="2" s="1"/>
  <c r="A1219" i="2"/>
  <c r="K1218" i="2"/>
  <c r="J1218" i="2"/>
  <c r="I1218" i="2"/>
  <c r="H1218" i="2"/>
  <c r="L1218" i="2" s="1"/>
  <c r="E1218" i="2"/>
  <c r="D1218" i="2"/>
  <c r="F1218" i="2" s="1"/>
  <c r="G1218" i="2" s="1"/>
  <c r="M1218" i="2" s="1"/>
  <c r="C1218" i="2"/>
  <c r="B1218" i="2"/>
  <c r="A1218" i="2"/>
  <c r="K1217" i="2"/>
  <c r="J1217" i="2"/>
  <c r="I1217" i="2"/>
  <c r="H1217" i="2"/>
  <c r="E1217" i="2"/>
  <c r="D1217" i="2"/>
  <c r="C1217" i="2"/>
  <c r="F1217" i="2" s="1"/>
  <c r="G1217" i="2" s="1"/>
  <c r="B1217" i="2"/>
  <c r="A1217" i="2"/>
  <c r="K1216" i="2"/>
  <c r="J1216" i="2"/>
  <c r="I1216" i="2"/>
  <c r="H1216" i="2"/>
  <c r="E1216" i="2"/>
  <c r="D1216" i="2"/>
  <c r="C1216" i="2"/>
  <c r="F1216" i="2" s="1"/>
  <c r="B1216" i="2"/>
  <c r="G1216" i="2" s="1"/>
  <c r="A1216" i="2"/>
  <c r="K1215" i="2"/>
  <c r="J1215" i="2"/>
  <c r="I1215" i="2"/>
  <c r="H1215" i="2"/>
  <c r="L1215" i="2" s="1"/>
  <c r="E1215" i="2"/>
  <c r="D1215" i="2"/>
  <c r="C1215" i="2"/>
  <c r="F1215" i="2" s="1"/>
  <c r="G1215" i="2" s="1"/>
  <c r="M1215" i="2" s="1"/>
  <c r="B1215" i="2"/>
  <c r="A1215" i="2"/>
  <c r="K1214" i="2"/>
  <c r="J1214" i="2"/>
  <c r="I1214" i="2"/>
  <c r="H1214" i="2"/>
  <c r="F1214" i="2"/>
  <c r="G1214" i="2" s="1"/>
  <c r="E1214" i="2"/>
  <c r="D1214" i="2"/>
  <c r="C1214" i="2"/>
  <c r="B1214" i="2"/>
  <c r="A1214" i="2"/>
  <c r="L1213" i="2"/>
  <c r="K1213" i="2"/>
  <c r="J1213" i="2"/>
  <c r="I1213" i="2"/>
  <c r="H1213" i="2"/>
  <c r="E1213" i="2"/>
  <c r="D1213" i="2"/>
  <c r="C1213" i="2"/>
  <c r="F1213" i="2" s="1"/>
  <c r="B1213" i="2"/>
  <c r="G1213" i="2" s="1"/>
  <c r="M1213" i="2" s="1"/>
  <c r="A1213" i="2"/>
  <c r="L1212" i="2"/>
  <c r="K1212" i="2"/>
  <c r="J1212" i="2"/>
  <c r="I1212" i="2"/>
  <c r="H1212" i="2"/>
  <c r="E1212" i="2"/>
  <c r="D1212" i="2"/>
  <c r="C1212" i="2"/>
  <c r="F1212" i="2" s="1"/>
  <c r="B1212" i="2"/>
  <c r="G1212" i="2" s="1"/>
  <c r="M1212" i="2" s="1"/>
  <c r="A1212" i="2"/>
  <c r="K1211" i="2"/>
  <c r="J1211" i="2"/>
  <c r="I1211" i="2"/>
  <c r="H1211" i="2"/>
  <c r="L1211" i="2" s="1"/>
  <c r="E1211" i="2"/>
  <c r="F1211" i="2" s="1"/>
  <c r="G1211" i="2" s="1"/>
  <c r="M1211" i="2" s="1"/>
  <c r="D1211" i="2"/>
  <c r="C1211" i="2"/>
  <c r="B1211" i="2"/>
  <c r="A1211" i="2"/>
  <c r="K1210" i="2"/>
  <c r="J1210" i="2"/>
  <c r="I1210" i="2"/>
  <c r="H1210" i="2"/>
  <c r="E1210" i="2"/>
  <c r="D1210" i="2"/>
  <c r="C1210" i="2"/>
  <c r="F1210" i="2" s="1"/>
  <c r="B1210" i="2"/>
  <c r="G1210" i="2" s="1"/>
  <c r="A1210" i="2"/>
  <c r="K1209" i="2"/>
  <c r="L1209" i="2" s="1"/>
  <c r="J1209" i="2"/>
  <c r="I1209" i="2"/>
  <c r="H1209" i="2"/>
  <c r="E1209" i="2"/>
  <c r="D1209" i="2"/>
  <c r="C1209" i="2"/>
  <c r="B1209" i="2"/>
  <c r="A1209" i="2"/>
  <c r="K1208" i="2"/>
  <c r="J1208" i="2"/>
  <c r="I1208" i="2"/>
  <c r="H1208" i="2"/>
  <c r="L1208" i="2" s="1"/>
  <c r="E1208" i="2"/>
  <c r="D1208" i="2"/>
  <c r="F1208" i="2" s="1"/>
  <c r="G1208" i="2" s="1"/>
  <c r="M1208" i="2" s="1"/>
  <c r="C1208" i="2"/>
  <c r="B1208" i="2"/>
  <c r="A1208" i="2"/>
  <c r="K1207" i="2"/>
  <c r="J1207" i="2"/>
  <c r="I1207" i="2"/>
  <c r="H1207" i="2"/>
  <c r="E1207" i="2"/>
  <c r="D1207" i="2"/>
  <c r="C1207" i="2"/>
  <c r="F1207" i="2" s="1"/>
  <c r="G1207" i="2" s="1"/>
  <c r="B1207" i="2"/>
  <c r="A1207" i="2"/>
  <c r="K1206" i="2"/>
  <c r="J1206" i="2"/>
  <c r="I1206" i="2"/>
  <c r="H1206" i="2"/>
  <c r="E1206" i="2"/>
  <c r="D1206" i="2"/>
  <c r="C1206" i="2"/>
  <c r="F1206" i="2" s="1"/>
  <c r="B1206" i="2"/>
  <c r="G1206" i="2" s="1"/>
  <c r="A1206" i="2"/>
  <c r="K1205" i="2"/>
  <c r="J1205" i="2"/>
  <c r="I1205" i="2"/>
  <c r="H1205" i="2"/>
  <c r="L1205" i="2" s="1"/>
  <c r="E1205" i="2"/>
  <c r="D1205" i="2"/>
  <c r="C1205" i="2"/>
  <c r="F1205" i="2" s="1"/>
  <c r="G1205" i="2" s="1"/>
  <c r="M1205" i="2" s="1"/>
  <c r="B1205" i="2"/>
  <c r="A1205" i="2"/>
  <c r="K1204" i="2"/>
  <c r="J1204" i="2"/>
  <c r="I1204" i="2"/>
  <c r="H1204" i="2"/>
  <c r="L1204" i="2" s="1"/>
  <c r="F1204" i="2"/>
  <c r="G1204" i="2" s="1"/>
  <c r="M1204" i="2" s="1"/>
  <c r="E1204" i="2"/>
  <c r="D1204" i="2"/>
  <c r="C1204" i="2"/>
  <c r="B1204" i="2"/>
  <c r="A1204" i="2"/>
  <c r="K1203" i="2"/>
  <c r="J1203" i="2"/>
  <c r="I1203" i="2"/>
  <c r="L1203" i="2" s="1"/>
  <c r="H1203" i="2"/>
  <c r="E1203" i="2"/>
  <c r="D1203" i="2"/>
  <c r="C1203" i="2"/>
  <c r="F1203" i="2" s="1"/>
  <c r="B1203" i="2"/>
  <c r="A1203" i="2"/>
  <c r="L1202" i="2"/>
  <c r="K1202" i="2"/>
  <c r="J1202" i="2"/>
  <c r="I1202" i="2"/>
  <c r="H1202" i="2"/>
  <c r="E1202" i="2"/>
  <c r="D1202" i="2"/>
  <c r="C1202" i="2"/>
  <c r="B1202" i="2"/>
  <c r="A1202" i="2"/>
  <c r="K1201" i="2"/>
  <c r="J1201" i="2"/>
  <c r="I1201" i="2"/>
  <c r="H1201" i="2"/>
  <c r="L1201" i="2" s="1"/>
  <c r="E1201" i="2"/>
  <c r="F1201" i="2" s="1"/>
  <c r="G1201" i="2" s="1"/>
  <c r="M1201" i="2" s="1"/>
  <c r="D1201" i="2"/>
  <c r="C1201" i="2"/>
  <c r="B1201" i="2"/>
  <c r="A1201" i="2"/>
  <c r="K1200" i="2"/>
  <c r="J1200" i="2"/>
  <c r="I1200" i="2"/>
  <c r="H1200" i="2"/>
  <c r="L1200" i="2" s="1"/>
  <c r="E1200" i="2"/>
  <c r="D1200" i="2"/>
  <c r="C1200" i="2"/>
  <c r="F1200" i="2" s="1"/>
  <c r="B1200" i="2"/>
  <c r="A1200" i="2"/>
  <c r="L1199" i="2"/>
  <c r="K1199" i="2"/>
  <c r="J1199" i="2"/>
  <c r="I1199" i="2"/>
  <c r="H1199" i="2"/>
  <c r="E1199" i="2"/>
  <c r="D1199" i="2"/>
  <c r="C1199" i="2"/>
  <c r="F1199" i="2" s="1"/>
  <c r="B1199" i="2"/>
  <c r="A1199" i="2"/>
  <c r="K1198" i="2"/>
  <c r="J1198" i="2"/>
  <c r="I1198" i="2"/>
  <c r="H1198" i="2"/>
  <c r="L1198" i="2" s="1"/>
  <c r="E1198" i="2"/>
  <c r="D1198" i="2"/>
  <c r="F1198" i="2" s="1"/>
  <c r="G1198" i="2" s="1"/>
  <c r="M1198" i="2" s="1"/>
  <c r="C1198" i="2"/>
  <c r="B1198" i="2"/>
  <c r="A1198" i="2"/>
  <c r="K1197" i="2"/>
  <c r="J1197" i="2"/>
  <c r="I1197" i="2"/>
  <c r="H1197" i="2"/>
  <c r="L1197" i="2" s="1"/>
  <c r="E1197" i="2"/>
  <c r="D1197" i="2"/>
  <c r="C1197" i="2"/>
  <c r="F1197" i="2" s="1"/>
  <c r="G1197" i="2" s="1"/>
  <c r="M1197" i="2" s="1"/>
  <c r="B1197" i="2"/>
  <c r="A1197" i="2"/>
  <c r="K1196" i="2"/>
  <c r="J1196" i="2"/>
  <c r="L1196" i="2" s="1"/>
  <c r="I1196" i="2"/>
  <c r="H1196" i="2"/>
  <c r="E1196" i="2"/>
  <c r="D1196" i="2"/>
  <c r="C1196" i="2"/>
  <c r="F1196" i="2" s="1"/>
  <c r="B1196" i="2"/>
  <c r="A1196" i="2"/>
  <c r="K1195" i="2"/>
  <c r="J1195" i="2"/>
  <c r="I1195" i="2"/>
  <c r="H1195" i="2"/>
  <c r="L1195" i="2" s="1"/>
  <c r="E1195" i="2"/>
  <c r="D1195" i="2"/>
  <c r="F1195" i="2" s="1"/>
  <c r="G1195" i="2" s="1"/>
  <c r="M1195" i="2" s="1"/>
  <c r="C1195" i="2"/>
  <c r="B1195" i="2"/>
  <c r="A1195" i="2"/>
  <c r="K1194" i="2"/>
  <c r="J1194" i="2"/>
  <c r="I1194" i="2"/>
  <c r="H1194" i="2"/>
  <c r="L1194" i="2" s="1"/>
  <c r="F1194" i="2"/>
  <c r="G1194" i="2" s="1"/>
  <c r="M1194" i="2" s="1"/>
  <c r="E1194" i="2"/>
  <c r="D1194" i="2"/>
  <c r="C1194" i="2"/>
  <c r="B1194" i="2"/>
  <c r="A1194" i="2"/>
  <c r="K1193" i="2"/>
  <c r="J1193" i="2"/>
  <c r="I1193" i="2"/>
  <c r="L1193" i="2" s="1"/>
  <c r="H1193" i="2"/>
  <c r="E1193" i="2"/>
  <c r="D1193" i="2"/>
  <c r="C1193" i="2"/>
  <c r="F1193" i="2" s="1"/>
  <c r="B1193" i="2"/>
  <c r="A1193" i="2"/>
  <c r="L1192" i="2"/>
  <c r="K1192" i="2"/>
  <c r="J1192" i="2"/>
  <c r="I1192" i="2"/>
  <c r="H1192" i="2"/>
  <c r="E1192" i="2"/>
  <c r="D1192" i="2"/>
  <c r="C1192" i="2"/>
  <c r="B1192" i="2"/>
  <c r="A1192" i="2"/>
  <c r="K1191" i="2"/>
  <c r="J1191" i="2"/>
  <c r="I1191" i="2"/>
  <c r="H1191" i="2"/>
  <c r="L1191" i="2" s="1"/>
  <c r="F1191" i="2"/>
  <c r="G1191" i="2" s="1"/>
  <c r="M1191" i="2" s="1"/>
  <c r="E1191" i="2"/>
  <c r="D1191" i="2"/>
  <c r="C1191" i="2"/>
  <c r="B1191" i="2"/>
  <c r="A1191" i="2"/>
  <c r="K1190" i="2"/>
  <c r="J1190" i="2"/>
  <c r="I1190" i="2"/>
  <c r="H1190" i="2"/>
  <c r="L1190" i="2" s="1"/>
  <c r="E1190" i="2"/>
  <c r="D1190" i="2"/>
  <c r="C1190" i="2"/>
  <c r="F1190" i="2" s="1"/>
  <c r="B1190" i="2"/>
  <c r="A1190" i="2"/>
  <c r="K1189" i="2"/>
  <c r="L1189" i="2" s="1"/>
  <c r="J1189" i="2"/>
  <c r="I1189" i="2"/>
  <c r="H1189" i="2"/>
  <c r="E1189" i="2"/>
  <c r="D1189" i="2"/>
  <c r="C1189" i="2"/>
  <c r="F1189" i="2" s="1"/>
  <c r="B1189" i="2"/>
  <c r="A1189" i="2"/>
  <c r="K1188" i="2"/>
  <c r="J1188" i="2"/>
  <c r="I1188" i="2"/>
  <c r="H1188" i="2"/>
  <c r="L1188" i="2" s="1"/>
  <c r="E1188" i="2"/>
  <c r="D1188" i="2"/>
  <c r="C1188" i="2"/>
  <c r="B1188" i="2"/>
  <c r="A1188" i="2"/>
  <c r="K1187" i="2"/>
  <c r="J1187" i="2"/>
  <c r="I1187" i="2"/>
  <c r="H1187" i="2"/>
  <c r="L1187" i="2" s="1"/>
  <c r="G1187" i="2"/>
  <c r="M1187" i="2" s="1"/>
  <c r="E1187" i="2"/>
  <c r="D1187" i="2"/>
  <c r="C1187" i="2"/>
  <c r="F1187" i="2" s="1"/>
  <c r="B1187" i="2"/>
  <c r="A1187" i="2"/>
  <c r="K1186" i="2"/>
  <c r="J1186" i="2"/>
  <c r="L1186" i="2" s="1"/>
  <c r="I1186" i="2"/>
  <c r="H1186" i="2"/>
  <c r="E1186" i="2"/>
  <c r="D1186" i="2"/>
  <c r="C1186" i="2"/>
  <c r="F1186" i="2" s="1"/>
  <c r="B1186" i="2"/>
  <c r="A1186" i="2"/>
  <c r="K1185" i="2"/>
  <c r="J1185" i="2"/>
  <c r="I1185" i="2"/>
  <c r="H1185" i="2"/>
  <c r="L1185" i="2" s="1"/>
  <c r="F1185" i="2"/>
  <c r="G1185" i="2" s="1"/>
  <c r="M1185" i="2" s="1"/>
  <c r="E1185" i="2"/>
  <c r="D1185" i="2"/>
  <c r="C1185" i="2"/>
  <c r="B1185" i="2"/>
  <c r="A1185" i="2"/>
  <c r="K1184" i="2"/>
  <c r="J1184" i="2"/>
  <c r="I1184" i="2"/>
  <c r="H1184" i="2"/>
  <c r="L1184" i="2" s="1"/>
  <c r="G1184" i="2"/>
  <c r="M1184" i="2" s="1"/>
  <c r="F1184" i="2"/>
  <c r="E1184" i="2"/>
  <c r="D1184" i="2"/>
  <c r="C1184" i="2"/>
  <c r="B1184" i="2"/>
  <c r="A1184" i="2"/>
  <c r="K1183" i="2"/>
  <c r="J1183" i="2"/>
  <c r="I1183" i="2"/>
  <c r="L1183" i="2" s="1"/>
  <c r="H1183" i="2"/>
  <c r="E1183" i="2"/>
  <c r="D1183" i="2"/>
  <c r="C1183" i="2"/>
  <c r="F1183" i="2" s="1"/>
  <c r="B1183" i="2"/>
  <c r="G1183" i="2" s="1"/>
  <c r="A1183" i="2"/>
  <c r="M1182" i="2"/>
  <c r="L1182" i="2"/>
  <c r="K1182" i="2"/>
  <c r="J1182" i="2"/>
  <c r="I1182" i="2"/>
  <c r="H1182" i="2"/>
  <c r="E1182" i="2"/>
  <c r="D1182" i="2"/>
  <c r="C1182" i="2"/>
  <c r="F1182" i="2" s="1"/>
  <c r="B1182" i="2"/>
  <c r="G1182" i="2" s="1"/>
  <c r="A1182" i="2"/>
  <c r="K1181" i="2"/>
  <c r="J1181" i="2"/>
  <c r="I1181" i="2"/>
  <c r="H1181" i="2"/>
  <c r="L1181" i="2" s="1"/>
  <c r="F1181" i="2"/>
  <c r="G1181" i="2" s="1"/>
  <c r="M1181" i="2" s="1"/>
  <c r="E1181" i="2"/>
  <c r="D1181" i="2"/>
  <c r="C1181" i="2"/>
  <c r="B1181" i="2"/>
  <c r="A1181" i="2"/>
  <c r="K1180" i="2"/>
  <c r="J1180" i="2"/>
  <c r="I1180" i="2"/>
  <c r="H1180" i="2"/>
  <c r="E1180" i="2"/>
  <c r="D1180" i="2"/>
  <c r="C1180" i="2"/>
  <c r="F1180" i="2" s="1"/>
  <c r="B1180" i="2"/>
  <c r="G1180" i="2" s="1"/>
  <c r="A1180" i="2"/>
  <c r="L1179" i="2"/>
  <c r="K1179" i="2"/>
  <c r="J1179" i="2"/>
  <c r="I1179" i="2"/>
  <c r="H1179" i="2"/>
  <c r="E1179" i="2"/>
  <c r="D1179" i="2"/>
  <c r="C1179" i="2"/>
  <c r="B1179" i="2"/>
  <c r="A1179" i="2"/>
  <c r="K1178" i="2"/>
  <c r="J1178" i="2"/>
  <c r="I1178" i="2"/>
  <c r="H1178" i="2"/>
  <c r="L1178" i="2" s="1"/>
  <c r="E1178" i="2"/>
  <c r="D1178" i="2"/>
  <c r="C1178" i="2"/>
  <c r="B1178" i="2"/>
  <c r="A1178" i="2"/>
  <c r="K1177" i="2"/>
  <c r="J1177" i="2"/>
  <c r="I1177" i="2"/>
  <c r="H1177" i="2"/>
  <c r="L1177" i="2" s="1"/>
  <c r="G1177" i="2"/>
  <c r="E1177" i="2"/>
  <c r="D1177" i="2"/>
  <c r="C1177" i="2"/>
  <c r="F1177" i="2" s="1"/>
  <c r="B1177" i="2"/>
  <c r="A1177" i="2"/>
  <c r="K1176" i="2"/>
  <c r="J1176" i="2"/>
  <c r="L1176" i="2" s="1"/>
  <c r="M1176" i="2" s="1"/>
  <c r="I1176" i="2"/>
  <c r="H1176" i="2"/>
  <c r="E1176" i="2"/>
  <c r="D1176" i="2"/>
  <c r="C1176" i="2"/>
  <c r="F1176" i="2" s="1"/>
  <c r="B1176" i="2"/>
  <c r="G1176" i="2" s="1"/>
  <c r="A1176" i="2"/>
  <c r="K1175" i="2"/>
  <c r="J1175" i="2"/>
  <c r="I1175" i="2"/>
  <c r="H1175" i="2"/>
  <c r="L1175" i="2" s="1"/>
  <c r="E1175" i="2"/>
  <c r="D1175" i="2"/>
  <c r="C1175" i="2"/>
  <c r="F1175" i="2" s="1"/>
  <c r="G1175" i="2" s="1"/>
  <c r="M1175" i="2" s="1"/>
  <c r="B1175" i="2"/>
  <c r="A1175" i="2"/>
  <c r="K1174" i="2"/>
  <c r="J1174" i="2"/>
  <c r="I1174" i="2"/>
  <c r="H1174" i="2"/>
  <c r="F1174" i="2"/>
  <c r="G1174" i="2" s="1"/>
  <c r="E1174" i="2"/>
  <c r="D1174" i="2"/>
  <c r="C1174" i="2"/>
  <c r="B1174" i="2"/>
  <c r="A1174" i="2"/>
  <c r="L1173" i="2"/>
  <c r="K1173" i="2"/>
  <c r="J1173" i="2"/>
  <c r="I1173" i="2"/>
  <c r="H1173" i="2"/>
  <c r="E1173" i="2"/>
  <c r="D1173" i="2"/>
  <c r="C1173" i="2"/>
  <c r="F1173" i="2" s="1"/>
  <c r="B1173" i="2"/>
  <c r="G1173" i="2" s="1"/>
  <c r="M1173" i="2" s="1"/>
  <c r="A1173" i="2"/>
  <c r="L1172" i="2"/>
  <c r="K1172" i="2"/>
  <c r="J1172" i="2"/>
  <c r="I1172" i="2"/>
  <c r="H1172" i="2"/>
  <c r="E1172" i="2"/>
  <c r="D1172" i="2"/>
  <c r="F1172" i="2" s="1"/>
  <c r="C1172" i="2"/>
  <c r="B1172" i="2"/>
  <c r="A1172" i="2"/>
  <c r="K1171" i="2"/>
  <c r="J1171" i="2"/>
  <c r="I1171" i="2"/>
  <c r="H1171" i="2"/>
  <c r="L1171" i="2" s="1"/>
  <c r="E1171" i="2"/>
  <c r="F1171" i="2" s="1"/>
  <c r="G1171" i="2" s="1"/>
  <c r="M1171" i="2" s="1"/>
  <c r="D1171" i="2"/>
  <c r="C1171" i="2"/>
  <c r="B1171" i="2"/>
  <c r="A1171" i="2"/>
  <c r="K1170" i="2"/>
  <c r="J1170" i="2"/>
  <c r="I1170" i="2"/>
  <c r="H1170" i="2"/>
  <c r="L1170" i="2" s="1"/>
  <c r="E1170" i="2"/>
  <c r="D1170" i="2"/>
  <c r="C1170" i="2"/>
  <c r="F1170" i="2" s="1"/>
  <c r="B1170" i="2"/>
  <c r="A1170" i="2"/>
  <c r="K1169" i="2"/>
  <c r="L1169" i="2" s="1"/>
  <c r="J1169" i="2"/>
  <c r="I1169" i="2"/>
  <c r="H1169" i="2"/>
  <c r="E1169" i="2"/>
  <c r="D1169" i="2"/>
  <c r="C1169" i="2"/>
  <c r="B1169" i="2"/>
  <c r="A1169" i="2"/>
  <c r="K1168" i="2"/>
  <c r="J1168" i="2"/>
  <c r="I1168" i="2"/>
  <c r="H1168" i="2"/>
  <c r="L1168" i="2" s="1"/>
  <c r="E1168" i="2"/>
  <c r="F1168" i="2" s="1"/>
  <c r="G1168" i="2" s="1"/>
  <c r="M1168" i="2" s="1"/>
  <c r="D1168" i="2"/>
  <c r="C1168" i="2"/>
  <c r="B1168" i="2"/>
  <c r="A1168" i="2"/>
  <c r="K1167" i="2"/>
  <c r="J1167" i="2"/>
  <c r="I1167" i="2"/>
  <c r="H1167" i="2"/>
  <c r="L1167" i="2" s="1"/>
  <c r="G1167" i="2"/>
  <c r="E1167" i="2"/>
  <c r="D1167" i="2"/>
  <c r="C1167" i="2"/>
  <c r="F1167" i="2" s="1"/>
  <c r="B1167" i="2"/>
  <c r="A1167" i="2"/>
  <c r="K1166" i="2"/>
  <c r="J1166" i="2"/>
  <c r="L1166" i="2" s="1"/>
  <c r="M1166" i="2" s="1"/>
  <c r="I1166" i="2"/>
  <c r="H1166" i="2"/>
  <c r="E1166" i="2"/>
  <c r="D1166" i="2"/>
  <c r="C1166" i="2"/>
  <c r="F1166" i="2" s="1"/>
  <c r="B1166" i="2"/>
  <c r="G1166" i="2" s="1"/>
  <c r="A1166" i="2"/>
  <c r="K1165" i="2"/>
  <c r="J1165" i="2"/>
  <c r="I1165" i="2"/>
  <c r="H1165" i="2"/>
  <c r="L1165" i="2" s="1"/>
  <c r="E1165" i="2"/>
  <c r="D1165" i="2"/>
  <c r="C1165" i="2"/>
  <c r="F1165" i="2" s="1"/>
  <c r="G1165" i="2" s="1"/>
  <c r="M1165" i="2" s="1"/>
  <c r="B1165" i="2"/>
  <c r="A1165" i="2"/>
  <c r="K1164" i="2"/>
  <c r="J1164" i="2"/>
  <c r="I1164" i="2"/>
  <c r="H1164" i="2"/>
  <c r="F1164" i="2"/>
  <c r="G1164" i="2" s="1"/>
  <c r="E1164" i="2"/>
  <c r="D1164" i="2"/>
  <c r="C1164" i="2"/>
  <c r="B1164" i="2"/>
  <c r="A1164" i="2"/>
  <c r="L1163" i="2"/>
  <c r="K1163" i="2"/>
  <c r="J1163" i="2"/>
  <c r="I1163" i="2"/>
  <c r="H1163" i="2"/>
  <c r="E1163" i="2"/>
  <c r="D1163" i="2"/>
  <c r="C1163" i="2"/>
  <c r="F1163" i="2" s="1"/>
  <c r="B1163" i="2"/>
  <c r="G1163" i="2" s="1"/>
  <c r="M1163" i="2" s="1"/>
  <c r="A1163" i="2"/>
  <c r="L1162" i="2"/>
  <c r="K1162" i="2"/>
  <c r="J1162" i="2"/>
  <c r="I1162" i="2"/>
  <c r="H1162" i="2"/>
  <c r="E1162" i="2"/>
  <c r="D1162" i="2"/>
  <c r="F1162" i="2" s="1"/>
  <c r="C1162" i="2"/>
  <c r="B1162" i="2"/>
  <c r="A1162" i="2"/>
  <c r="K1161" i="2"/>
  <c r="J1161" i="2"/>
  <c r="I1161" i="2"/>
  <c r="H1161" i="2"/>
  <c r="L1161" i="2" s="1"/>
  <c r="E1161" i="2"/>
  <c r="F1161" i="2" s="1"/>
  <c r="G1161" i="2" s="1"/>
  <c r="M1161" i="2" s="1"/>
  <c r="D1161" i="2"/>
  <c r="C1161" i="2"/>
  <c r="B1161" i="2"/>
  <c r="A1161" i="2"/>
  <c r="K1160" i="2"/>
  <c r="J1160" i="2"/>
  <c r="I1160" i="2"/>
  <c r="H1160" i="2"/>
  <c r="L1160" i="2" s="1"/>
  <c r="E1160" i="2"/>
  <c r="D1160" i="2"/>
  <c r="C1160" i="2"/>
  <c r="F1160" i="2" s="1"/>
  <c r="B1160" i="2"/>
  <c r="A1160" i="2"/>
  <c r="K1159" i="2"/>
  <c r="L1159" i="2" s="1"/>
  <c r="J1159" i="2"/>
  <c r="I1159" i="2"/>
  <c r="H1159" i="2"/>
  <c r="E1159" i="2"/>
  <c r="D1159" i="2"/>
  <c r="C1159" i="2"/>
  <c r="B1159" i="2"/>
  <c r="A1159" i="2"/>
  <c r="K1158" i="2"/>
  <c r="J1158" i="2"/>
  <c r="I1158" i="2"/>
  <c r="H1158" i="2"/>
  <c r="L1158" i="2" s="1"/>
  <c r="G1158" i="2"/>
  <c r="M1158" i="2" s="1"/>
  <c r="E1158" i="2"/>
  <c r="F1158" i="2" s="1"/>
  <c r="D1158" i="2"/>
  <c r="C1158" i="2"/>
  <c r="B1158" i="2"/>
  <c r="A1158" i="2"/>
  <c r="K1157" i="2"/>
  <c r="J1157" i="2"/>
  <c r="I1157" i="2"/>
  <c r="H1157" i="2"/>
  <c r="L1157" i="2" s="1"/>
  <c r="G1157" i="2"/>
  <c r="E1157" i="2"/>
  <c r="D1157" i="2"/>
  <c r="C1157" i="2"/>
  <c r="F1157" i="2" s="1"/>
  <c r="B1157" i="2"/>
  <c r="A1157" i="2"/>
  <c r="K1156" i="2"/>
  <c r="J1156" i="2"/>
  <c r="L1156" i="2" s="1"/>
  <c r="M1156" i="2" s="1"/>
  <c r="I1156" i="2"/>
  <c r="H1156" i="2"/>
  <c r="E1156" i="2"/>
  <c r="D1156" i="2"/>
  <c r="C1156" i="2"/>
  <c r="F1156" i="2" s="1"/>
  <c r="B1156" i="2"/>
  <c r="G1156" i="2" s="1"/>
  <c r="A1156" i="2"/>
  <c r="K1155" i="2"/>
  <c r="J1155" i="2"/>
  <c r="I1155" i="2"/>
  <c r="H1155" i="2"/>
  <c r="L1155" i="2" s="1"/>
  <c r="E1155" i="2"/>
  <c r="D1155" i="2"/>
  <c r="C1155" i="2"/>
  <c r="F1155" i="2" s="1"/>
  <c r="G1155" i="2" s="1"/>
  <c r="M1155" i="2" s="1"/>
  <c r="B1155" i="2"/>
  <c r="A1155" i="2"/>
  <c r="K1154" i="2"/>
  <c r="J1154" i="2"/>
  <c r="I1154" i="2"/>
  <c r="H1154" i="2"/>
  <c r="F1154" i="2"/>
  <c r="G1154" i="2" s="1"/>
  <c r="E1154" i="2"/>
  <c r="D1154" i="2"/>
  <c r="C1154" i="2"/>
  <c r="B1154" i="2"/>
  <c r="A1154" i="2"/>
  <c r="L1153" i="2"/>
  <c r="K1153" i="2"/>
  <c r="J1153" i="2"/>
  <c r="I1153" i="2"/>
  <c r="H1153" i="2"/>
  <c r="E1153" i="2"/>
  <c r="D1153" i="2"/>
  <c r="C1153" i="2"/>
  <c r="F1153" i="2" s="1"/>
  <c r="B1153" i="2"/>
  <c r="G1153" i="2" s="1"/>
  <c r="M1153" i="2" s="1"/>
  <c r="A1153" i="2"/>
  <c r="L1152" i="2"/>
  <c r="K1152" i="2"/>
  <c r="J1152" i="2"/>
  <c r="I1152" i="2"/>
  <c r="H1152" i="2"/>
  <c r="E1152" i="2"/>
  <c r="D1152" i="2"/>
  <c r="F1152" i="2" s="1"/>
  <c r="C1152" i="2"/>
  <c r="B1152" i="2"/>
  <c r="A1152" i="2"/>
  <c r="K1151" i="2"/>
  <c r="J1151" i="2"/>
  <c r="I1151" i="2"/>
  <c r="H1151" i="2"/>
  <c r="L1151" i="2" s="1"/>
  <c r="E1151" i="2"/>
  <c r="F1151" i="2" s="1"/>
  <c r="G1151" i="2" s="1"/>
  <c r="M1151" i="2" s="1"/>
  <c r="D1151" i="2"/>
  <c r="C1151" i="2"/>
  <c r="B1151" i="2"/>
  <c r="A1151" i="2"/>
  <c r="K1150" i="2"/>
  <c r="J1150" i="2"/>
  <c r="I1150" i="2"/>
  <c r="H1150" i="2"/>
  <c r="L1150" i="2" s="1"/>
  <c r="E1150" i="2"/>
  <c r="D1150" i="2"/>
  <c r="C1150" i="2"/>
  <c r="F1150" i="2" s="1"/>
  <c r="B1150" i="2"/>
  <c r="A1150" i="2"/>
  <c r="K1149" i="2"/>
  <c r="L1149" i="2" s="1"/>
  <c r="J1149" i="2"/>
  <c r="I1149" i="2"/>
  <c r="H1149" i="2"/>
  <c r="E1149" i="2"/>
  <c r="D1149" i="2"/>
  <c r="C1149" i="2"/>
  <c r="B1149" i="2"/>
  <c r="A1149" i="2"/>
  <c r="K1148" i="2"/>
  <c r="J1148" i="2"/>
  <c r="I1148" i="2"/>
  <c r="H1148" i="2"/>
  <c r="L1148" i="2" s="1"/>
  <c r="E1148" i="2"/>
  <c r="F1148" i="2" s="1"/>
  <c r="G1148" i="2" s="1"/>
  <c r="M1148" i="2" s="1"/>
  <c r="D1148" i="2"/>
  <c r="C1148" i="2"/>
  <c r="B1148" i="2"/>
  <c r="A1148" i="2"/>
  <c r="K1147" i="2"/>
  <c r="J1147" i="2"/>
  <c r="I1147" i="2"/>
  <c r="H1147" i="2"/>
  <c r="L1147" i="2" s="1"/>
  <c r="G1147" i="2"/>
  <c r="E1147" i="2"/>
  <c r="D1147" i="2"/>
  <c r="C1147" i="2"/>
  <c r="F1147" i="2" s="1"/>
  <c r="B1147" i="2"/>
  <c r="A1147" i="2"/>
  <c r="K1146" i="2"/>
  <c r="J1146" i="2"/>
  <c r="L1146" i="2" s="1"/>
  <c r="M1146" i="2" s="1"/>
  <c r="I1146" i="2"/>
  <c r="H1146" i="2"/>
  <c r="E1146" i="2"/>
  <c r="D1146" i="2"/>
  <c r="C1146" i="2"/>
  <c r="F1146" i="2" s="1"/>
  <c r="B1146" i="2"/>
  <c r="G1146" i="2" s="1"/>
  <c r="A1146" i="2"/>
  <c r="K1145" i="2"/>
  <c r="J1145" i="2"/>
  <c r="I1145" i="2"/>
  <c r="H1145" i="2"/>
  <c r="L1145" i="2" s="1"/>
  <c r="E1145" i="2"/>
  <c r="D1145" i="2"/>
  <c r="C1145" i="2"/>
  <c r="F1145" i="2" s="1"/>
  <c r="G1145" i="2" s="1"/>
  <c r="M1145" i="2" s="1"/>
  <c r="B1145" i="2"/>
  <c r="A1145" i="2"/>
  <c r="K1144" i="2"/>
  <c r="J1144" i="2"/>
  <c r="I1144" i="2"/>
  <c r="H1144" i="2"/>
  <c r="F1144" i="2"/>
  <c r="G1144" i="2" s="1"/>
  <c r="E1144" i="2"/>
  <c r="D1144" i="2"/>
  <c r="C1144" i="2"/>
  <c r="B1144" i="2"/>
  <c r="A1144" i="2"/>
  <c r="L1143" i="2"/>
  <c r="K1143" i="2"/>
  <c r="J1143" i="2"/>
  <c r="I1143" i="2"/>
  <c r="H1143" i="2"/>
  <c r="E1143" i="2"/>
  <c r="D1143" i="2"/>
  <c r="C1143" i="2"/>
  <c r="F1143" i="2" s="1"/>
  <c r="B1143" i="2"/>
  <c r="G1143" i="2" s="1"/>
  <c r="M1143" i="2" s="1"/>
  <c r="A1143" i="2"/>
  <c r="L1142" i="2"/>
  <c r="K1142" i="2"/>
  <c r="J1142" i="2"/>
  <c r="I1142" i="2"/>
  <c r="H1142" i="2"/>
  <c r="E1142" i="2"/>
  <c r="D1142" i="2"/>
  <c r="F1142" i="2" s="1"/>
  <c r="C1142" i="2"/>
  <c r="B1142" i="2"/>
  <c r="A1142" i="2"/>
  <c r="K1141" i="2"/>
  <c r="J1141" i="2"/>
  <c r="I1141" i="2"/>
  <c r="H1141" i="2"/>
  <c r="L1141" i="2" s="1"/>
  <c r="E1141" i="2"/>
  <c r="F1141" i="2" s="1"/>
  <c r="G1141" i="2" s="1"/>
  <c r="M1141" i="2" s="1"/>
  <c r="D1141" i="2"/>
  <c r="C1141" i="2"/>
  <c r="B1141" i="2"/>
  <c r="A1141" i="2"/>
  <c r="K1140" i="2"/>
  <c r="J1140" i="2"/>
  <c r="I1140" i="2"/>
  <c r="H1140" i="2"/>
  <c r="L1140" i="2" s="1"/>
  <c r="E1140" i="2"/>
  <c r="D1140" i="2"/>
  <c r="C1140" i="2"/>
  <c r="F1140" i="2" s="1"/>
  <c r="B1140" i="2"/>
  <c r="A1140" i="2"/>
  <c r="K1139" i="2"/>
  <c r="L1139" i="2" s="1"/>
  <c r="J1139" i="2"/>
  <c r="I1139" i="2"/>
  <c r="H1139" i="2"/>
  <c r="E1139" i="2"/>
  <c r="D1139" i="2"/>
  <c r="C1139" i="2"/>
  <c r="B1139" i="2"/>
  <c r="A1139" i="2"/>
  <c r="K1138" i="2"/>
  <c r="J1138" i="2"/>
  <c r="I1138" i="2"/>
  <c r="H1138" i="2"/>
  <c r="L1138" i="2" s="1"/>
  <c r="G1138" i="2"/>
  <c r="M1138" i="2" s="1"/>
  <c r="E1138" i="2"/>
  <c r="F1138" i="2" s="1"/>
  <c r="D1138" i="2"/>
  <c r="C1138" i="2"/>
  <c r="B1138" i="2"/>
  <c r="A1138" i="2"/>
  <c r="K1137" i="2"/>
  <c r="J1137" i="2"/>
  <c r="I1137" i="2"/>
  <c r="H1137" i="2"/>
  <c r="L1137" i="2" s="1"/>
  <c r="G1137" i="2"/>
  <c r="E1137" i="2"/>
  <c r="D1137" i="2"/>
  <c r="C1137" i="2"/>
  <c r="F1137" i="2" s="1"/>
  <c r="B1137" i="2"/>
  <c r="A1137" i="2"/>
  <c r="K1136" i="2"/>
  <c r="J1136" i="2"/>
  <c r="L1136" i="2" s="1"/>
  <c r="M1136" i="2" s="1"/>
  <c r="I1136" i="2"/>
  <c r="H1136" i="2"/>
  <c r="E1136" i="2"/>
  <c r="D1136" i="2"/>
  <c r="C1136" i="2"/>
  <c r="F1136" i="2" s="1"/>
  <c r="B1136" i="2"/>
  <c r="G1136" i="2" s="1"/>
  <c r="A1136" i="2"/>
  <c r="K1135" i="2"/>
  <c r="J1135" i="2"/>
  <c r="I1135" i="2"/>
  <c r="H1135" i="2"/>
  <c r="L1135" i="2" s="1"/>
  <c r="E1135" i="2"/>
  <c r="D1135" i="2"/>
  <c r="C1135" i="2"/>
  <c r="F1135" i="2" s="1"/>
  <c r="G1135" i="2" s="1"/>
  <c r="M1135" i="2" s="1"/>
  <c r="B1135" i="2"/>
  <c r="A1135" i="2"/>
  <c r="K1134" i="2"/>
  <c r="J1134" i="2"/>
  <c r="I1134" i="2"/>
  <c r="H1134" i="2"/>
  <c r="F1134" i="2"/>
  <c r="G1134" i="2" s="1"/>
  <c r="E1134" i="2"/>
  <c r="D1134" i="2"/>
  <c r="C1134" i="2"/>
  <c r="B1134" i="2"/>
  <c r="A1134" i="2"/>
  <c r="L1133" i="2"/>
  <c r="K1133" i="2"/>
  <c r="J1133" i="2"/>
  <c r="I1133" i="2"/>
  <c r="H1133" i="2"/>
  <c r="E1133" i="2"/>
  <c r="D1133" i="2"/>
  <c r="C1133" i="2"/>
  <c r="F1133" i="2" s="1"/>
  <c r="B1133" i="2"/>
  <c r="A1133" i="2"/>
  <c r="L1132" i="2"/>
  <c r="K1132" i="2"/>
  <c r="J1132" i="2"/>
  <c r="I1132" i="2"/>
  <c r="H1132" i="2"/>
  <c r="E1132" i="2"/>
  <c r="D1132" i="2"/>
  <c r="F1132" i="2" s="1"/>
  <c r="C1132" i="2"/>
  <c r="B1132" i="2"/>
  <c r="A1132" i="2"/>
  <c r="K1131" i="2"/>
  <c r="J1131" i="2"/>
  <c r="I1131" i="2"/>
  <c r="H1131" i="2"/>
  <c r="L1131" i="2" s="1"/>
  <c r="F1131" i="2"/>
  <c r="G1131" i="2" s="1"/>
  <c r="M1131" i="2" s="1"/>
  <c r="E1131" i="2"/>
  <c r="D1131" i="2"/>
  <c r="C1131" i="2"/>
  <c r="B1131" i="2"/>
  <c r="A1131" i="2"/>
  <c r="K1130" i="2"/>
  <c r="J1130" i="2"/>
  <c r="I1130" i="2"/>
  <c r="H1130" i="2"/>
  <c r="L1130" i="2" s="1"/>
  <c r="E1130" i="2"/>
  <c r="D1130" i="2"/>
  <c r="C1130" i="2"/>
  <c r="F1130" i="2" s="1"/>
  <c r="B1130" i="2"/>
  <c r="A1130" i="2"/>
  <c r="K1129" i="2"/>
  <c r="L1129" i="2" s="1"/>
  <c r="J1129" i="2"/>
  <c r="I1129" i="2"/>
  <c r="H1129" i="2"/>
  <c r="E1129" i="2"/>
  <c r="D1129" i="2"/>
  <c r="C1129" i="2"/>
  <c r="B1129" i="2"/>
  <c r="A1129" i="2"/>
  <c r="K1128" i="2"/>
  <c r="J1128" i="2"/>
  <c r="I1128" i="2"/>
  <c r="H1128" i="2"/>
  <c r="L1128" i="2" s="1"/>
  <c r="G1128" i="2"/>
  <c r="M1128" i="2" s="1"/>
  <c r="E1128" i="2"/>
  <c r="F1128" i="2" s="1"/>
  <c r="D1128" i="2"/>
  <c r="C1128" i="2"/>
  <c r="B1128" i="2"/>
  <c r="A1128" i="2"/>
  <c r="K1127" i="2"/>
  <c r="J1127" i="2"/>
  <c r="I1127" i="2"/>
  <c r="H1127" i="2"/>
  <c r="G1127" i="2"/>
  <c r="E1127" i="2"/>
  <c r="D1127" i="2"/>
  <c r="C1127" i="2"/>
  <c r="F1127" i="2" s="1"/>
  <c r="B1127" i="2"/>
  <c r="A1127" i="2"/>
  <c r="K1126" i="2"/>
  <c r="J1126" i="2"/>
  <c r="I1126" i="2"/>
  <c r="H1126" i="2"/>
  <c r="E1126" i="2"/>
  <c r="D1126" i="2"/>
  <c r="C1126" i="2"/>
  <c r="F1126" i="2" s="1"/>
  <c r="B1126" i="2"/>
  <c r="G1126" i="2" s="1"/>
  <c r="A1126" i="2"/>
  <c r="K1125" i="2"/>
  <c r="J1125" i="2"/>
  <c r="I1125" i="2"/>
  <c r="H1125" i="2"/>
  <c r="L1125" i="2" s="1"/>
  <c r="E1125" i="2"/>
  <c r="D1125" i="2"/>
  <c r="C1125" i="2"/>
  <c r="F1125" i="2" s="1"/>
  <c r="G1125" i="2" s="1"/>
  <c r="M1125" i="2" s="1"/>
  <c r="B1125" i="2"/>
  <c r="A1125" i="2"/>
  <c r="K1124" i="2"/>
  <c r="J1124" i="2"/>
  <c r="I1124" i="2"/>
  <c r="H1124" i="2"/>
  <c r="F1124" i="2"/>
  <c r="G1124" i="2" s="1"/>
  <c r="E1124" i="2"/>
  <c r="D1124" i="2"/>
  <c r="C1124" i="2"/>
  <c r="B1124" i="2"/>
  <c r="A1124" i="2"/>
  <c r="K1123" i="2"/>
  <c r="J1123" i="2"/>
  <c r="I1123" i="2"/>
  <c r="L1123" i="2" s="1"/>
  <c r="H1123" i="2"/>
  <c r="E1123" i="2"/>
  <c r="D1123" i="2"/>
  <c r="C1123" i="2"/>
  <c r="F1123" i="2" s="1"/>
  <c r="B1123" i="2"/>
  <c r="G1123" i="2" s="1"/>
  <c r="A1123" i="2"/>
  <c r="L1122" i="2"/>
  <c r="K1122" i="2"/>
  <c r="J1122" i="2"/>
  <c r="I1122" i="2"/>
  <c r="H1122" i="2"/>
  <c r="E1122" i="2"/>
  <c r="D1122" i="2"/>
  <c r="F1122" i="2" s="1"/>
  <c r="C1122" i="2"/>
  <c r="B1122" i="2"/>
  <c r="A1122" i="2"/>
  <c r="K1121" i="2"/>
  <c r="J1121" i="2"/>
  <c r="I1121" i="2"/>
  <c r="H1121" i="2"/>
  <c r="L1121" i="2" s="1"/>
  <c r="E1121" i="2"/>
  <c r="F1121" i="2" s="1"/>
  <c r="G1121" i="2" s="1"/>
  <c r="D1121" i="2"/>
  <c r="C1121" i="2"/>
  <c r="B1121" i="2"/>
  <c r="A1121" i="2"/>
  <c r="K1120" i="2"/>
  <c r="J1120" i="2"/>
  <c r="I1120" i="2"/>
  <c r="H1120" i="2"/>
  <c r="L1120" i="2" s="1"/>
  <c r="E1120" i="2"/>
  <c r="D1120" i="2"/>
  <c r="C1120" i="2"/>
  <c r="F1120" i="2" s="1"/>
  <c r="B1120" i="2"/>
  <c r="A1120" i="2"/>
  <c r="K1119" i="2"/>
  <c r="L1119" i="2" s="1"/>
  <c r="J1119" i="2"/>
  <c r="I1119" i="2"/>
  <c r="H1119" i="2"/>
  <c r="E1119" i="2"/>
  <c r="D1119" i="2"/>
  <c r="C1119" i="2"/>
  <c r="B1119" i="2"/>
  <c r="A1119" i="2"/>
  <c r="K1118" i="2"/>
  <c r="J1118" i="2"/>
  <c r="I1118" i="2"/>
  <c r="H1118" i="2"/>
  <c r="L1118" i="2" s="1"/>
  <c r="G1118" i="2"/>
  <c r="F1118" i="2"/>
  <c r="E1118" i="2"/>
  <c r="D1118" i="2"/>
  <c r="C1118" i="2"/>
  <c r="B1118" i="2"/>
  <c r="A1118" i="2"/>
  <c r="K1117" i="2"/>
  <c r="J1117" i="2"/>
  <c r="I1117" i="2"/>
  <c r="H1117" i="2"/>
  <c r="G1117" i="2"/>
  <c r="E1117" i="2"/>
  <c r="D1117" i="2"/>
  <c r="C1117" i="2"/>
  <c r="F1117" i="2" s="1"/>
  <c r="B1117" i="2"/>
  <c r="A1117" i="2"/>
  <c r="K1116" i="2"/>
  <c r="J1116" i="2"/>
  <c r="I1116" i="2"/>
  <c r="H1116" i="2"/>
  <c r="E1116" i="2"/>
  <c r="D1116" i="2"/>
  <c r="C1116" i="2"/>
  <c r="F1116" i="2" s="1"/>
  <c r="B1116" i="2"/>
  <c r="G1116" i="2" s="1"/>
  <c r="A1116" i="2"/>
  <c r="K1115" i="2"/>
  <c r="J1115" i="2"/>
  <c r="I1115" i="2"/>
  <c r="H1115" i="2"/>
  <c r="L1115" i="2" s="1"/>
  <c r="E1115" i="2"/>
  <c r="D1115" i="2"/>
  <c r="C1115" i="2"/>
  <c r="F1115" i="2" s="1"/>
  <c r="G1115" i="2" s="1"/>
  <c r="M1115" i="2" s="1"/>
  <c r="B1115" i="2"/>
  <c r="A1115" i="2"/>
  <c r="K1114" i="2"/>
  <c r="J1114" i="2"/>
  <c r="I1114" i="2"/>
  <c r="H1114" i="2"/>
  <c r="F1114" i="2"/>
  <c r="G1114" i="2" s="1"/>
  <c r="E1114" i="2"/>
  <c r="D1114" i="2"/>
  <c r="C1114" i="2"/>
  <c r="B1114" i="2"/>
  <c r="A1114" i="2"/>
  <c r="K1113" i="2"/>
  <c r="J1113" i="2"/>
  <c r="I1113" i="2"/>
  <c r="L1113" i="2" s="1"/>
  <c r="H1113" i="2"/>
  <c r="E1113" i="2"/>
  <c r="D1113" i="2"/>
  <c r="C1113" i="2"/>
  <c r="F1113" i="2" s="1"/>
  <c r="B1113" i="2"/>
  <c r="G1113" i="2" s="1"/>
  <c r="A1113" i="2"/>
  <c r="L1112" i="2"/>
  <c r="K1112" i="2"/>
  <c r="J1112" i="2"/>
  <c r="I1112" i="2"/>
  <c r="H1112" i="2"/>
  <c r="E1112" i="2"/>
  <c r="D1112" i="2"/>
  <c r="F1112" i="2" s="1"/>
  <c r="C1112" i="2"/>
  <c r="B1112" i="2"/>
  <c r="A1112" i="2"/>
  <c r="K1111" i="2"/>
  <c r="J1111" i="2"/>
  <c r="I1111" i="2"/>
  <c r="H1111" i="2"/>
  <c r="L1111" i="2" s="1"/>
  <c r="F1111" i="2"/>
  <c r="G1111" i="2" s="1"/>
  <c r="E1111" i="2"/>
  <c r="D1111" i="2"/>
  <c r="C1111" i="2"/>
  <c r="B1111" i="2"/>
  <c r="A1111" i="2"/>
  <c r="K1110" i="2"/>
  <c r="J1110" i="2"/>
  <c r="I1110" i="2"/>
  <c r="H1110" i="2"/>
  <c r="L1110" i="2" s="1"/>
  <c r="E1110" i="2"/>
  <c r="D1110" i="2"/>
  <c r="C1110" i="2"/>
  <c r="F1110" i="2" s="1"/>
  <c r="B1110" i="2"/>
  <c r="A1110" i="2"/>
  <c r="K1109" i="2"/>
  <c r="L1109" i="2" s="1"/>
  <c r="J1109" i="2"/>
  <c r="I1109" i="2"/>
  <c r="H1109" i="2"/>
  <c r="E1109" i="2"/>
  <c r="D1109" i="2"/>
  <c r="C1109" i="2"/>
  <c r="B1109" i="2"/>
  <c r="A1109" i="2"/>
  <c r="K1108" i="2"/>
  <c r="J1108" i="2"/>
  <c r="I1108" i="2"/>
  <c r="H1108" i="2"/>
  <c r="L1108" i="2" s="1"/>
  <c r="E1108" i="2"/>
  <c r="F1108" i="2" s="1"/>
  <c r="G1108" i="2" s="1"/>
  <c r="M1108" i="2" s="1"/>
  <c r="D1108" i="2"/>
  <c r="C1108" i="2"/>
  <c r="B1108" i="2"/>
  <c r="A1108" i="2"/>
  <c r="K1107" i="2"/>
  <c r="J1107" i="2"/>
  <c r="I1107" i="2"/>
  <c r="H1107" i="2"/>
  <c r="L1107" i="2" s="1"/>
  <c r="G1107" i="2"/>
  <c r="E1107" i="2"/>
  <c r="D1107" i="2"/>
  <c r="C1107" i="2"/>
  <c r="F1107" i="2" s="1"/>
  <c r="B1107" i="2"/>
  <c r="A1107" i="2"/>
  <c r="K1106" i="2"/>
  <c r="J1106" i="2"/>
  <c r="I1106" i="2"/>
  <c r="H1106" i="2"/>
  <c r="E1106" i="2"/>
  <c r="D1106" i="2"/>
  <c r="C1106" i="2"/>
  <c r="F1106" i="2" s="1"/>
  <c r="B1106" i="2"/>
  <c r="G1106" i="2" s="1"/>
  <c r="A1106" i="2"/>
  <c r="K1105" i="2"/>
  <c r="J1105" i="2"/>
  <c r="I1105" i="2"/>
  <c r="H1105" i="2"/>
  <c r="L1105" i="2" s="1"/>
  <c r="E1105" i="2"/>
  <c r="D1105" i="2"/>
  <c r="C1105" i="2"/>
  <c r="F1105" i="2" s="1"/>
  <c r="G1105" i="2" s="1"/>
  <c r="M1105" i="2" s="1"/>
  <c r="B1105" i="2"/>
  <c r="A1105" i="2"/>
  <c r="K1104" i="2"/>
  <c r="J1104" i="2"/>
  <c r="I1104" i="2"/>
  <c r="H1104" i="2"/>
  <c r="F1104" i="2"/>
  <c r="G1104" i="2" s="1"/>
  <c r="E1104" i="2"/>
  <c r="D1104" i="2"/>
  <c r="C1104" i="2"/>
  <c r="B1104" i="2"/>
  <c r="A1104" i="2"/>
  <c r="K1103" i="2"/>
  <c r="J1103" i="2"/>
  <c r="I1103" i="2"/>
  <c r="L1103" i="2" s="1"/>
  <c r="H1103" i="2"/>
  <c r="E1103" i="2"/>
  <c r="D1103" i="2"/>
  <c r="C1103" i="2"/>
  <c r="F1103" i="2" s="1"/>
  <c r="B1103" i="2"/>
  <c r="A1103" i="2"/>
  <c r="L1102" i="2"/>
  <c r="K1102" i="2"/>
  <c r="J1102" i="2"/>
  <c r="I1102" i="2"/>
  <c r="H1102" i="2"/>
  <c r="F1102" i="2"/>
  <c r="G1102" i="2" s="1"/>
  <c r="M1102" i="2" s="1"/>
  <c r="E1102" i="2"/>
  <c r="D1102" i="2"/>
  <c r="C1102" i="2"/>
  <c r="B1102" i="2"/>
  <c r="A1102" i="2"/>
  <c r="K1101" i="2"/>
  <c r="J1101" i="2"/>
  <c r="I1101" i="2"/>
  <c r="H1101" i="2"/>
  <c r="G1101" i="2"/>
  <c r="F1101" i="2"/>
  <c r="E1101" i="2"/>
  <c r="D1101" i="2"/>
  <c r="C1101" i="2"/>
  <c r="B1101" i="2"/>
  <c r="A1101" i="2"/>
  <c r="K1100" i="2"/>
  <c r="J1100" i="2"/>
  <c r="I1100" i="2"/>
  <c r="L1100" i="2" s="1"/>
  <c r="M1100" i="2" s="1"/>
  <c r="H1100" i="2"/>
  <c r="E1100" i="2"/>
  <c r="D1100" i="2"/>
  <c r="C1100" i="2"/>
  <c r="F1100" i="2" s="1"/>
  <c r="B1100" i="2"/>
  <c r="G1100" i="2" s="1"/>
  <c r="A1100" i="2"/>
  <c r="K1099" i="2"/>
  <c r="L1099" i="2" s="1"/>
  <c r="J1099" i="2"/>
  <c r="I1099" i="2"/>
  <c r="H1099" i="2"/>
  <c r="E1099" i="2"/>
  <c r="D1099" i="2"/>
  <c r="C1099" i="2"/>
  <c r="F1099" i="2" s="1"/>
  <c r="B1099" i="2"/>
  <c r="G1099" i="2" s="1"/>
  <c r="M1099" i="2" s="1"/>
  <c r="A1099" i="2"/>
  <c r="K1098" i="2"/>
  <c r="J1098" i="2"/>
  <c r="I1098" i="2"/>
  <c r="H1098" i="2"/>
  <c r="E1098" i="2"/>
  <c r="D1098" i="2"/>
  <c r="F1098" i="2" s="1"/>
  <c r="G1098" i="2" s="1"/>
  <c r="C1098" i="2"/>
  <c r="B1098" i="2"/>
  <c r="A1098" i="2"/>
  <c r="L1097" i="2"/>
  <c r="K1097" i="2"/>
  <c r="J1097" i="2"/>
  <c r="I1097" i="2"/>
  <c r="H1097" i="2"/>
  <c r="E1097" i="2"/>
  <c r="D1097" i="2"/>
  <c r="C1097" i="2"/>
  <c r="B1097" i="2"/>
  <c r="A1097" i="2"/>
  <c r="L1096" i="2"/>
  <c r="K1096" i="2"/>
  <c r="J1096" i="2"/>
  <c r="I1096" i="2"/>
  <c r="H1096" i="2"/>
  <c r="E1096" i="2"/>
  <c r="D1096" i="2"/>
  <c r="C1096" i="2"/>
  <c r="B1096" i="2"/>
  <c r="A1096" i="2"/>
  <c r="K1095" i="2"/>
  <c r="J1095" i="2"/>
  <c r="I1095" i="2"/>
  <c r="H1095" i="2"/>
  <c r="L1095" i="2" s="1"/>
  <c r="E1095" i="2"/>
  <c r="F1095" i="2" s="1"/>
  <c r="G1095" i="2" s="1"/>
  <c r="M1095" i="2" s="1"/>
  <c r="D1095" i="2"/>
  <c r="C1095" i="2"/>
  <c r="B1095" i="2"/>
  <c r="A1095" i="2"/>
  <c r="K1094" i="2"/>
  <c r="J1094" i="2"/>
  <c r="I1094" i="2"/>
  <c r="H1094" i="2"/>
  <c r="L1094" i="2" s="1"/>
  <c r="G1094" i="2"/>
  <c r="F1094" i="2"/>
  <c r="E1094" i="2"/>
  <c r="D1094" i="2"/>
  <c r="C1094" i="2"/>
  <c r="B1094" i="2"/>
  <c r="A1094" i="2"/>
  <c r="K1093" i="2"/>
  <c r="J1093" i="2"/>
  <c r="L1093" i="2" s="1"/>
  <c r="I1093" i="2"/>
  <c r="H1093" i="2"/>
  <c r="E1093" i="2"/>
  <c r="D1093" i="2"/>
  <c r="C1093" i="2"/>
  <c r="F1093" i="2" s="1"/>
  <c r="B1093" i="2"/>
  <c r="A1093" i="2"/>
  <c r="L1092" i="2"/>
  <c r="K1092" i="2"/>
  <c r="J1092" i="2"/>
  <c r="I1092" i="2"/>
  <c r="H1092" i="2"/>
  <c r="E1092" i="2"/>
  <c r="D1092" i="2"/>
  <c r="C1092" i="2"/>
  <c r="B1092" i="2"/>
  <c r="A1092" i="2"/>
  <c r="K1091" i="2"/>
  <c r="J1091" i="2"/>
  <c r="I1091" i="2"/>
  <c r="H1091" i="2"/>
  <c r="L1091" i="2" s="1"/>
  <c r="G1091" i="2"/>
  <c r="M1091" i="2" s="1"/>
  <c r="E1091" i="2"/>
  <c r="F1091" i="2" s="1"/>
  <c r="D1091" i="2"/>
  <c r="C1091" i="2"/>
  <c r="B1091" i="2"/>
  <c r="A1091" i="2"/>
  <c r="K1090" i="2"/>
  <c r="J1090" i="2"/>
  <c r="I1090" i="2"/>
  <c r="H1090" i="2"/>
  <c r="L1090" i="2" s="1"/>
  <c r="E1090" i="2"/>
  <c r="D1090" i="2"/>
  <c r="C1090" i="2"/>
  <c r="B1090" i="2"/>
  <c r="A1090" i="2"/>
  <c r="K1089" i="2"/>
  <c r="J1089" i="2"/>
  <c r="I1089" i="2"/>
  <c r="H1089" i="2"/>
  <c r="E1089" i="2"/>
  <c r="D1089" i="2"/>
  <c r="C1089" i="2"/>
  <c r="F1089" i="2" s="1"/>
  <c r="B1089" i="2"/>
  <c r="G1089" i="2" s="1"/>
  <c r="A1089" i="2"/>
  <c r="K1088" i="2"/>
  <c r="J1088" i="2"/>
  <c r="I1088" i="2"/>
  <c r="H1088" i="2"/>
  <c r="E1088" i="2"/>
  <c r="D1088" i="2"/>
  <c r="F1088" i="2" s="1"/>
  <c r="G1088" i="2" s="1"/>
  <c r="C1088" i="2"/>
  <c r="B1088" i="2"/>
  <c r="A1088" i="2"/>
  <c r="L1087" i="2"/>
  <c r="K1087" i="2"/>
  <c r="J1087" i="2"/>
  <c r="I1087" i="2"/>
  <c r="H1087" i="2"/>
  <c r="E1087" i="2"/>
  <c r="D1087" i="2"/>
  <c r="C1087" i="2"/>
  <c r="B1087" i="2"/>
  <c r="A1087" i="2"/>
  <c r="L1086" i="2"/>
  <c r="K1086" i="2"/>
  <c r="J1086" i="2"/>
  <c r="I1086" i="2"/>
  <c r="H1086" i="2"/>
  <c r="E1086" i="2"/>
  <c r="D1086" i="2"/>
  <c r="C1086" i="2"/>
  <c r="B1086" i="2"/>
  <c r="A1086" i="2"/>
  <c r="K1085" i="2"/>
  <c r="J1085" i="2"/>
  <c r="I1085" i="2"/>
  <c r="H1085" i="2"/>
  <c r="F1085" i="2"/>
  <c r="G1085" i="2" s="1"/>
  <c r="E1085" i="2"/>
  <c r="D1085" i="2"/>
  <c r="C1085" i="2"/>
  <c r="B1085" i="2"/>
  <c r="A1085" i="2"/>
  <c r="K1084" i="2"/>
  <c r="J1084" i="2"/>
  <c r="I1084" i="2"/>
  <c r="L1084" i="2" s="1"/>
  <c r="H1084" i="2"/>
  <c r="E1084" i="2"/>
  <c r="D1084" i="2"/>
  <c r="C1084" i="2"/>
  <c r="F1084" i="2" s="1"/>
  <c r="B1084" i="2"/>
  <c r="G1084" i="2" s="1"/>
  <c r="A1084" i="2"/>
  <c r="L1083" i="2"/>
  <c r="K1083" i="2"/>
  <c r="J1083" i="2"/>
  <c r="I1083" i="2"/>
  <c r="H1083" i="2"/>
  <c r="E1083" i="2"/>
  <c r="D1083" i="2"/>
  <c r="C1083" i="2"/>
  <c r="F1083" i="2" s="1"/>
  <c r="B1083" i="2"/>
  <c r="G1083" i="2" s="1"/>
  <c r="M1083" i="2" s="1"/>
  <c r="A1083" i="2"/>
  <c r="K1082" i="2"/>
  <c r="J1082" i="2"/>
  <c r="I1082" i="2"/>
  <c r="H1082" i="2"/>
  <c r="L1082" i="2" s="1"/>
  <c r="E1082" i="2"/>
  <c r="D1082" i="2"/>
  <c r="C1082" i="2"/>
  <c r="B1082" i="2"/>
  <c r="A1082" i="2"/>
  <c r="K1081" i="2"/>
  <c r="J1081" i="2"/>
  <c r="I1081" i="2"/>
  <c r="H1081" i="2"/>
  <c r="F1081" i="2"/>
  <c r="G1081" i="2" s="1"/>
  <c r="E1081" i="2"/>
  <c r="D1081" i="2"/>
  <c r="C1081" i="2"/>
  <c r="B1081" i="2"/>
  <c r="A1081" i="2"/>
  <c r="K1080" i="2"/>
  <c r="J1080" i="2"/>
  <c r="I1080" i="2"/>
  <c r="L1080" i="2" s="1"/>
  <c r="H1080" i="2"/>
  <c r="E1080" i="2"/>
  <c r="D1080" i="2"/>
  <c r="C1080" i="2"/>
  <c r="B1080" i="2"/>
  <c r="A1080" i="2"/>
  <c r="K1079" i="2"/>
  <c r="L1079" i="2" s="1"/>
  <c r="J1079" i="2"/>
  <c r="I1079" i="2"/>
  <c r="H1079" i="2"/>
  <c r="E1079" i="2"/>
  <c r="D1079" i="2"/>
  <c r="C1079" i="2"/>
  <c r="F1079" i="2" s="1"/>
  <c r="B1079" i="2"/>
  <c r="A1079" i="2"/>
  <c r="K1078" i="2"/>
  <c r="J1078" i="2"/>
  <c r="I1078" i="2"/>
  <c r="H1078" i="2"/>
  <c r="E1078" i="2"/>
  <c r="D1078" i="2"/>
  <c r="F1078" i="2" s="1"/>
  <c r="G1078" i="2" s="1"/>
  <c r="C1078" i="2"/>
  <c r="B1078" i="2"/>
  <c r="A1078" i="2"/>
  <c r="K1077" i="2"/>
  <c r="J1077" i="2"/>
  <c r="I1077" i="2"/>
  <c r="H1077" i="2"/>
  <c r="L1077" i="2" s="1"/>
  <c r="G1077" i="2"/>
  <c r="E1077" i="2"/>
  <c r="D1077" i="2"/>
  <c r="C1077" i="2"/>
  <c r="F1077" i="2" s="1"/>
  <c r="B1077" i="2"/>
  <c r="A1077" i="2"/>
  <c r="K1076" i="2"/>
  <c r="J1076" i="2"/>
  <c r="L1076" i="2" s="1"/>
  <c r="I1076" i="2"/>
  <c r="H1076" i="2"/>
  <c r="F1076" i="2"/>
  <c r="G1076" i="2" s="1"/>
  <c r="M1076" i="2" s="1"/>
  <c r="E1076" i="2"/>
  <c r="D1076" i="2"/>
  <c r="C1076" i="2"/>
  <c r="B1076" i="2"/>
  <c r="A1076" i="2"/>
  <c r="K1075" i="2"/>
  <c r="J1075" i="2"/>
  <c r="I1075" i="2"/>
  <c r="H1075" i="2"/>
  <c r="E1075" i="2"/>
  <c r="D1075" i="2"/>
  <c r="C1075" i="2"/>
  <c r="F1075" i="2" s="1"/>
  <c r="G1075" i="2" s="1"/>
  <c r="B1075" i="2"/>
  <c r="A1075" i="2"/>
  <c r="L1074" i="2"/>
  <c r="K1074" i="2"/>
  <c r="J1074" i="2"/>
  <c r="I1074" i="2"/>
  <c r="H1074" i="2"/>
  <c r="E1074" i="2"/>
  <c r="D1074" i="2"/>
  <c r="C1074" i="2"/>
  <c r="F1074" i="2" s="1"/>
  <c r="B1074" i="2"/>
  <c r="G1074" i="2" s="1"/>
  <c r="A1074" i="2"/>
  <c r="K1073" i="2"/>
  <c r="J1073" i="2"/>
  <c r="I1073" i="2"/>
  <c r="L1073" i="2" s="1"/>
  <c r="H1073" i="2"/>
  <c r="F1073" i="2"/>
  <c r="E1073" i="2"/>
  <c r="D1073" i="2"/>
  <c r="C1073" i="2"/>
  <c r="B1073" i="2"/>
  <c r="A1073" i="2"/>
  <c r="K1072" i="2"/>
  <c r="J1072" i="2"/>
  <c r="I1072" i="2"/>
  <c r="H1072" i="2"/>
  <c r="L1072" i="2" s="1"/>
  <c r="F1072" i="2"/>
  <c r="G1072" i="2" s="1"/>
  <c r="E1072" i="2"/>
  <c r="D1072" i="2"/>
  <c r="C1072" i="2"/>
  <c r="B1072" i="2"/>
  <c r="A1072" i="2"/>
  <c r="K1071" i="2"/>
  <c r="J1071" i="2"/>
  <c r="I1071" i="2"/>
  <c r="H1071" i="2"/>
  <c r="F1071" i="2"/>
  <c r="E1071" i="2"/>
  <c r="D1071" i="2"/>
  <c r="C1071" i="2"/>
  <c r="B1071" i="2"/>
  <c r="G1071" i="2" s="1"/>
  <c r="A1071" i="2"/>
  <c r="K1070" i="2"/>
  <c r="L1070" i="2" s="1"/>
  <c r="J1070" i="2"/>
  <c r="I1070" i="2"/>
  <c r="H1070" i="2"/>
  <c r="E1070" i="2"/>
  <c r="D1070" i="2"/>
  <c r="C1070" i="2"/>
  <c r="F1070" i="2" s="1"/>
  <c r="B1070" i="2"/>
  <c r="G1070" i="2" s="1"/>
  <c r="A1070" i="2"/>
  <c r="L1069" i="2"/>
  <c r="K1069" i="2"/>
  <c r="J1069" i="2"/>
  <c r="I1069" i="2"/>
  <c r="H1069" i="2"/>
  <c r="E1069" i="2"/>
  <c r="D1069" i="2"/>
  <c r="C1069" i="2"/>
  <c r="F1069" i="2" s="1"/>
  <c r="B1069" i="2"/>
  <c r="G1069" i="2" s="1"/>
  <c r="M1069" i="2" s="1"/>
  <c r="A1069" i="2"/>
  <c r="K1068" i="2"/>
  <c r="J1068" i="2"/>
  <c r="I1068" i="2"/>
  <c r="H1068" i="2"/>
  <c r="L1068" i="2" s="1"/>
  <c r="E1068" i="2"/>
  <c r="D1068" i="2"/>
  <c r="F1068" i="2" s="1"/>
  <c r="G1068" i="2" s="1"/>
  <c r="M1068" i="2" s="1"/>
  <c r="C1068" i="2"/>
  <c r="B1068" i="2"/>
  <c r="A1068" i="2"/>
  <c r="K1067" i="2"/>
  <c r="J1067" i="2"/>
  <c r="I1067" i="2"/>
  <c r="H1067" i="2"/>
  <c r="L1067" i="2" s="1"/>
  <c r="E1067" i="2"/>
  <c r="D1067" i="2"/>
  <c r="C1067" i="2"/>
  <c r="B1067" i="2"/>
  <c r="A1067" i="2"/>
  <c r="K1066" i="2"/>
  <c r="J1066" i="2"/>
  <c r="I1066" i="2"/>
  <c r="H1066" i="2"/>
  <c r="E1066" i="2"/>
  <c r="D1066" i="2"/>
  <c r="C1066" i="2"/>
  <c r="F1066" i="2" s="1"/>
  <c r="B1066" i="2"/>
  <c r="A1066" i="2"/>
  <c r="K1065" i="2"/>
  <c r="J1065" i="2"/>
  <c r="I1065" i="2"/>
  <c r="H1065" i="2"/>
  <c r="E1065" i="2"/>
  <c r="D1065" i="2"/>
  <c r="C1065" i="2"/>
  <c r="F1065" i="2" s="1"/>
  <c r="G1065" i="2" s="1"/>
  <c r="B1065" i="2"/>
  <c r="A1065" i="2"/>
  <c r="K1064" i="2"/>
  <c r="J1064" i="2"/>
  <c r="I1064" i="2"/>
  <c r="H1064" i="2"/>
  <c r="L1064" i="2" s="1"/>
  <c r="F1064" i="2"/>
  <c r="G1064" i="2" s="1"/>
  <c r="M1064" i="2" s="1"/>
  <c r="E1064" i="2"/>
  <c r="D1064" i="2"/>
  <c r="C1064" i="2"/>
  <c r="B1064" i="2"/>
  <c r="A1064" i="2"/>
  <c r="K1063" i="2"/>
  <c r="J1063" i="2"/>
  <c r="I1063" i="2"/>
  <c r="L1063" i="2" s="1"/>
  <c r="H1063" i="2"/>
  <c r="G1063" i="2"/>
  <c r="F1063" i="2"/>
  <c r="E1063" i="2"/>
  <c r="D1063" i="2"/>
  <c r="C1063" i="2"/>
  <c r="B1063" i="2"/>
  <c r="A1063" i="2"/>
  <c r="L1062" i="2"/>
  <c r="K1062" i="2"/>
  <c r="J1062" i="2"/>
  <c r="I1062" i="2"/>
  <c r="H1062" i="2"/>
  <c r="E1062" i="2"/>
  <c r="D1062" i="2"/>
  <c r="C1062" i="2"/>
  <c r="F1062" i="2" s="1"/>
  <c r="B1062" i="2"/>
  <c r="G1062" i="2" s="1"/>
  <c r="A1062" i="2"/>
  <c r="L1061" i="2"/>
  <c r="K1061" i="2"/>
  <c r="J1061" i="2"/>
  <c r="I1061" i="2"/>
  <c r="H1061" i="2"/>
  <c r="E1061" i="2"/>
  <c r="D1061" i="2"/>
  <c r="C1061" i="2"/>
  <c r="F1061" i="2" s="1"/>
  <c r="B1061" i="2"/>
  <c r="A1061" i="2"/>
  <c r="K1060" i="2"/>
  <c r="J1060" i="2"/>
  <c r="I1060" i="2"/>
  <c r="H1060" i="2"/>
  <c r="L1060" i="2" s="1"/>
  <c r="E1060" i="2"/>
  <c r="D1060" i="2"/>
  <c r="F1060" i="2" s="1"/>
  <c r="C1060" i="2"/>
  <c r="B1060" i="2"/>
  <c r="A1060" i="2"/>
  <c r="K1059" i="2"/>
  <c r="J1059" i="2"/>
  <c r="I1059" i="2"/>
  <c r="H1059" i="2"/>
  <c r="L1059" i="2" s="1"/>
  <c r="E1059" i="2"/>
  <c r="F1059" i="2" s="1"/>
  <c r="G1059" i="2" s="1"/>
  <c r="M1059" i="2" s="1"/>
  <c r="D1059" i="2"/>
  <c r="C1059" i="2"/>
  <c r="B1059" i="2"/>
  <c r="A1059" i="2"/>
  <c r="L1058" i="2"/>
  <c r="K1058" i="2"/>
  <c r="J1058" i="2"/>
  <c r="I1058" i="2"/>
  <c r="H1058" i="2"/>
  <c r="E1058" i="2"/>
  <c r="D1058" i="2"/>
  <c r="F1058" i="2" s="1"/>
  <c r="C1058" i="2"/>
  <c r="B1058" i="2"/>
  <c r="G1058" i="2" s="1"/>
  <c r="A1058" i="2"/>
  <c r="L1057" i="2"/>
  <c r="K1057" i="2"/>
  <c r="J1057" i="2"/>
  <c r="I1057" i="2"/>
  <c r="H1057" i="2"/>
  <c r="E1057" i="2"/>
  <c r="D1057" i="2"/>
  <c r="C1057" i="2"/>
  <c r="B1057" i="2"/>
  <c r="A1057" i="2"/>
  <c r="K1056" i="2"/>
  <c r="J1056" i="2"/>
  <c r="I1056" i="2"/>
  <c r="H1056" i="2"/>
  <c r="L1056" i="2" s="1"/>
  <c r="E1056" i="2"/>
  <c r="D1056" i="2"/>
  <c r="C1056" i="2"/>
  <c r="B1056" i="2"/>
  <c r="A1056" i="2"/>
  <c r="K1055" i="2"/>
  <c r="J1055" i="2"/>
  <c r="I1055" i="2"/>
  <c r="H1055" i="2"/>
  <c r="F1055" i="2"/>
  <c r="G1055" i="2" s="1"/>
  <c r="E1055" i="2"/>
  <c r="D1055" i="2"/>
  <c r="C1055" i="2"/>
  <c r="B1055" i="2"/>
  <c r="A1055" i="2"/>
  <c r="L1054" i="2"/>
  <c r="K1054" i="2"/>
  <c r="J1054" i="2"/>
  <c r="I1054" i="2"/>
  <c r="H1054" i="2"/>
  <c r="E1054" i="2"/>
  <c r="D1054" i="2"/>
  <c r="C1054" i="2"/>
  <c r="F1054" i="2" s="1"/>
  <c r="B1054" i="2"/>
  <c r="G1054" i="2" s="1"/>
  <c r="M1054" i="2" s="1"/>
  <c r="A1054" i="2"/>
  <c r="L1053" i="2"/>
  <c r="K1053" i="2"/>
  <c r="J1053" i="2"/>
  <c r="I1053" i="2"/>
  <c r="H1053" i="2"/>
  <c r="E1053" i="2"/>
  <c r="D1053" i="2"/>
  <c r="C1053" i="2"/>
  <c r="F1053" i="2" s="1"/>
  <c r="B1053" i="2"/>
  <c r="G1053" i="2" s="1"/>
  <c r="M1053" i="2" s="1"/>
  <c r="A1053" i="2"/>
  <c r="K1052" i="2"/>
  <c r="J1052" i="2"/>
  <c r="I1052" i="2"/>
  <c r="H1052" i="2"/>
  <c r="L1052" i="2" s="1"/>
  <c r="E1052" i="2"/>
  <c r="F1052" i="2" s="1"/>
  <c r="G1052" i="2" s="1"/>
  <c r="M1052" i="2" s="1"/>
  <c r="D1052" i="2"/>
  <c r="C1052" i="2"/>
  <c r="B1052" i="2"/>
  <c r="A1052" i="2"/>
  <c r="K1051" i="2"/>
  <c r="J1051" i="2"/>
  <c r="I1051" i="2"/>
  <c r="H1051" i="2"/>
  <c r="E1051" i="2"/>
  <c r="D1051" i="2"/>
  <c r="C1051" i="2"/>
  <c r="F1051" i="2" s="1"/>
  <c r="B1051" i="2"/>
  <c r="G1051" i="2" s="1"/>
  <c r="A1051" i="2"/>
  <c r="K1050" i="2"/>
  <c r="L1050" i="2" s="1"/>
  <c r="J1050" i="2"/>
  <c r="I1050" i="2"/>
  <c r="H1050" i="2"/>
  <c r="E1050" i="2"/>
  <c r="D1050" i="2"/>
  <c r="C1050" i="2"/>
  <c r="F1050" i="2" s="1"/>
  <c r="B1050" i="2"/>
  <c r="A1050" i="2"/>
  <c r="K1049" i="2"/>
  <c r="J1049" i="2"/>
  <c r="I1049" i="2"/>
  <c r="H1049" i="2"/>
  <c r="L1049" i="2" s="1"/>
  <c r="E1049" i="2"/>
  <c r="D1049" i="2"/>
  <c r="C1049" i="2"/>
  <c r="F1049" i="2" s="1"/>
  <c r="G1049" i="2" s="1"/>
  <c r="M1049" i="2" s="1"/>
  <c r="B1049" i="2"/>
  <c r="A1049" i="2"/>
  <c r="K1048" i="2"/>
  <c r="J1048" i="2"/>
  <c r="I1048" i="2"/>
  <c r="H1048" i="2"/>
  <c r="L1048" i="2" s="1"/>
  <c r="E1048" i="2"/>
  <c r="F1048" i="2" s="1"/>
  <c r="G1048" i="2" s="1"/>
  <c r="M1048" i="2" s="1"/>
  <c r="D1048" i="2"/>
  <c r="C1048" i="2"/>
  <c r="B1048" i="2"/>
  <c r="A1048" i="2"/>
  <c r="K1047" i="2"/>
  <c r="J1047" i="2"/>
  <c r="I1047" i="2"/>
  <c r="H1047" i="2"/>
  <c r="E1047" i="2"/>
  <c r="D1047" i="2"/>
  <c r="C1047" i="2"/>
  <c r="F1047" i="2" s="1"/>
  <c r="B1047" i="2"/>
  <c r="G1047" i="2" s="1"/>
  <c r="A1047" i="2"/>
  <c r="K1046" i="2"/>
  <c r="L1046" i="2" s="1"/>
  <c r="J1046" i="2"/>
  <c r="I1046" i="2"/>
  <c r="H1046" i="2"/>
  <c r="E1046" i="2"/>
  <c r="D1046" i="2"/>
  <c r="C1046" i="2"/>
  <c r="B1046" i="2"/>
  <c r="A1046" i="2"/>
  <c r="K1045" i="2"/>
  <c r="J1045" i="2"/>
  <c r="I1045" i="2"/>
  <c r="H1045" i="2"/>
  <c r="L1045" i="2" s="1"/>
  <c r="E1045" i="2"/>
  <c r="D1045" i="2"/>
  <c r="F1045" i="2" s="1"/>
  <c r="G1045" i="2" s="1"/>
  <c r="M1045" i="2" s="1"/>
  <c r="C1045" i="2"/>
  <c r="B1045" i="2"/>
  <c r="A1045" i="2"/>
  <c r="K1044" i="2"/>
  <c r="J1044" i="2"/>
  <c r="I1044" i="2"/>
  <c r="H1044" i="2"/>
  <c r="G1044" i="2"/>
  <c r="E1044" i="2"/>
  <c r="F1044" i="2" s="1"/>
  <c r="D1044" i="2"/>
  <c r="C1044" i="2"/>
  <c r="B1044" i="2"/>
  <c r="A1044" i="2"/>
  <c r="K1043" i="2"/>
  <c r="J1043" i="2"/>
  <c r="I1043" i="2"/>
  <c r="H1043" i="2"/>
  <c r="E1043" i="2"/>
  <c r="D1043" i="2"/>
  <c r="C1043" i="2"/>
  <c r="F1043" i="2" s="1"/>
  <c r="B1043" i="2"/>
  <c r="G1043" i="2" s="1"/>
  <c r="A1043" i="2"/>
  <c r="K1042" i="2"/>
  <c r="J1042" i="2"/>
  <c r="I1042" i="2"/>
  <c r="H1042" i="2"/>
  <c r="L1042" i="2" s="1"/>
  <c r="E1042" i="2"/>
  <c r="D1042" i="2"/>
  <c r="C1042" i="2"/>
  <c r="F1042" i="2" s="1"/>
  <c r="G1042" i="2" s="1"/>
  <c r="M1042" i="2" s="1"/>
  <c r="B1042" i="2"/>
  <c r="A1042" i="2"/>
  <c r="K1041" i="2"/>
  <c r="J1041" i="2"/>
  <c r="I1041" i="2"/>
  <c r="H1041" i="2"/>
  <c r="L1041" i="2" s="1"/>
  <c r="F1041" i="2"/>
  <c r="G1041" i="2" s="1"/>
  <c r="M1041" i="2" s="1"/>
  <c r="E1041" i="2"/>
  <c r="D1041" i="2"/>
  <c r="C1041" i="2"/>
  <c r="B1041" i="2"/>
  <c r="A1041" i="2"/>
  <c r="K1040" i="2"/>
  <c r="J1040" i="2"/>
  <c r="I1040" i="2"/>
  <c r="L1040" i="2" s="1"/>
  <c r="H1040" i="2"/>
  <c r="E1040" i="2"/>
  <c r="D1040" i="2"/>
  <c r="C1040" i="2"/>
  <c r="F1040" i="2" s="1"/>
  <c r="B1040" i="2"/>
  <c r="A1040" i="2"/>
  <c r="L1039" i="2"/>
  <c r="K1039" i="2"/>
  <c r="J1039" i="2"/>
  <c r="I1039" i="2"/>
  <c r="H1039" i="2"/>
  <c r="E1039" i="2"/>
  <c r="D1039" i="2"/>
  <c r="C1039" i="2"/>
  <c r="B1039" i="2"/>
  <c r="A1039" i="2"/>
  <c r="K1038" i="2"/>
  <c r="J1038" i="2"/>
  <c r="I1038" i="2"/>
  <c r="H1038" i="2"/>
  <c r="L1038" i="2" s="1"/>
  <c r="E1038" i="2"/>
  <c r="F1038" i="2" s="1"/>
  <c r="G1038" i="2" s="1"/>
  <c r="M1038" i="2" s="1"/>
  <c r="D1038" i="2"/>
  <c r="C1038" i="2"/>
  <c r="B1038" i="2"/>
  <c r="A1038" i="2"/>
  <c r="K1037" i="2"/>
  <c r="J1037" i="2"/>
  <c r="I1037" i="2"/>
  <c r="H1037" i="2"/>
  <c r="L1037" i="2" s="1"/>
  <c r="E1037" i="2"/>
  <c r="D1037" i="2"/>
  <c r="C1037" i="2"/>
  <c r="F1037" i="2" s="1"/>
  <c r="B1037" i="2"/>
  <c r="A1037" i="2"/>
  <c r="K1036" i="2"/>
  <c r="L1036" i="2" s="1"/>
  <c r="J1036" i="2"/>
  <c r="I1036" i="2"/>
  <c r="H1036" i="2"/>
  <c r="E1036" i="2"/>
  <c r="D1036" i="2"/>
  <c r="C1036" i="2"/>
  <c r="B1036" i="2"/>
  <c r="A1036" i="2"/>
  <c r="K1035" i="2"/>
  <c r="J1035" i="2"/>
  <c r="I1035" i="2"/>
  <c r="H1035" i="2"/>
  <c r="L1035" i="2" s="1"/>
  <c r="E1035" i="2"/>
  <c r="D1035" i="2"/>
  <c r="F1035" i="2" s="1"/>
  <c r="G1035" i="2" s="1"/>
  <c r="M1035" i="2" s="1"/>
  <c r="C1035" i="2"/>
  <c r="B1035" i="2"/>
  <c r="A1035" i="2"/>
  <c r="K1034" i="2"/>
  <c r="J1034" i="2"/>
  <c r="I1034" i="2"/>
  <c r="H1034" i="2"/>
  <c r="L1034" i="2" s="1"/>
  <c r="G1034" i="2"/>
  <c r="M1034" i="2" s="1"/>
  <c r="E1034" i="2"/>
  <c r="F1034" i="2" s="1"/>
  <c r="D1034" i="2"/>
  <c r="C1034" i="2"/>
  <c r="B1034" i="2"/>
  <c r="A1034" i="2"/>
  <c r="K1033" i="2"/>
  <c r="J1033" i="2"/>
  <c r="L1033" i="2" s="1"/>
  <c r="I1033" i="2"/>
  <c r="H1033" i="2"/>
  <c r="E1033" i="2"/>
  <c r="D1033" i="2"/>
  <c r="C1033" i="2"/>
  <c r="F1033" i="2" s="1"/>
  <c r="B1033" i="2"/>
  <c r="A1033" i="2"/>
  <c r="K1032" i="2"/>
  <c r="J1032" i="2"/>
  <c r="I1032" i="2"/>
  <c r="H1032" i="2"/>
  <c r="L1032" i="2" s="1"/>
  <c r="E1032" i="2"/>
  <c r="D1032" i="2"/>
  <c r="C1032" i="2"/>
  <c r="F1032" i="2" s="1"/>
  <c r="G1032" i="2" s="1"/>
  <c r="M1032" i="2" s="1"/>
  <c r="B1032" i="2"/>
  <c r="A1032" i="2"/>
  <c r="K1031" i="2"/>
  <c r="J1031" i="2"/>
  <c r="I1031" i="2"/>
  <c r="H1031" i="2"/>
  <c r="L1031" i="2" s="1"/>
  <c r="F1031" i="2"/>
  <c r="G1031" i="2" s="1"/>
  <c r="M1031" i="2" s="1"/>
  <c r="E1031" i="2"/>
  <c r="D1031" i="2"/>
  <c r="C1031" i="2"/>
  <c r="B1031" i="2"/>
  <c r="A1031" i="2"/>
  <c r="K1030" i="2"/>
  <c r="J1030" i="2"/>
  <c r="L1030" i="2" s="1"/>
  <c r="I1030" i="2"/>
  <c r="H1030" i="2"/>
  <c r="E1030" i="2"/>
  <c r="D1030" i="2"/>
  <c r="C1030" i="2"/>
  <c r="F1030" i="2" s="1"/>
  <c r="B1030" i="2"/>
  <c r="A1030" i="2"/>
  <c r="L1029" i="2"/>
  <c r="K1029" i="2"/>
  <c r="J1029" i="2"/>
  <c r="I1029" i="2"/>
  <c r="H1029" i="2"/>
  <c r="E1029" i="2"/>
  <c r="D1029" i="2"/>
  <c r="C1029" i="2"/>
  <c r="B1029" i="2"/>
  <c r="A1029" i="2"/>
  <c r="K1028" i="2"/>
  <c r="J1028" i="2"/>
  <c r="I1028" i="2"/>
  <c r="H1028" i="2"/>
  <c r="L1028" i="2" s="1"/>
  <c r="F1028" i="2"/>
  <c r="G1028" i="2" s="1"/>
  <c r="M1028" i="2" s="1"/>
  <c r="E1028" i="2"/>
  <c r="D1028" i="2"/>
  <c r="C1028" i="2"/>
  <c r="B1028" i="2"/>
  <c r="A1028" i="2"/>
  <c r="K1027" i="2"/>
  <c r="J1027" i="2"/>
  <c r="I1027" i="2"/>
  <c r="H1027" i="2"/>
  <c r="L1027" i="2" s="1"/>
  <c r="E1027" i="2"/>
  <c r="D1027" i="2"/>
  <c r="C1027" i="2"/>
  <c r="F1027" i="2" s="1"/>
  <c r="B1027" i="2"/>
  <c r="A1027" i="2"/>
  <c r="L1026" i="2"/>
  <c r="K1026" i="2"/>
  <c r="J1026" i="2"/>
  <c r="I1026" i="2"/>
  <c r="H1026" i="2"/>
  <c r="E1026" i="2"/>
  <c r="D1026" i="2"/>
  <c r="C1026" i="2"/>
  <c r="F1026" i="2" s="1"/>
  <c r="B1026" i="2"/>
  <c r="A1026" i="2"/>
  <c r="K1025" i="2"/>
  <c r="J1025" i="2"/>
  <c r="I1025" i="2"/>
  <c r="H1025" i="2"/>
  <c r="L1025" i="2" s="1"/>
  <c r="E1025" i="2"/>
  <c r="D1025" i="2"/>
  <c r="C1025" i="2"/>
  <c r="B1025" i="2"/>
  <c r="A1025" i="2"/>
  <c r="K1024" i="2"/>
  <c r="J1024" i="2"/>
  <c r="I1024" i="2"/>
  <c r="H1024" i="2"/>
  <c r="L1024" i="2" s="1"/>
  <c r="E1024" i="2"/>
  <c r="F1024" i="2" s="1"/>
  <c r="G1024" i="2" s="1"/>
  <c r="M1024" i="2" s="1"/>
  <c r="D1024" i="2"/>
  <c r="C1024" i="2"/>
  <c r="B1024" i="2"/>
  <c r="A1024" i="2"/>
  <c r="K1023" i="2"/>
  <c r="J1023" i="2"/>
  <c r="L1023" i="2" s="1"/>
  <c r="I1023" i="2"/>
  <c r="H1023" i="2"/>
  <c r="E1023" i="2"/>
  <c r="D1023" i="2"/>
  <c r="C1023" i="2"/>
  <c r="F1023" i="2" s="1"/>
  <c r="B1023" i="2"/>
  <c r="A1023" i="2"/>
  <c r="K1022" i="2"/>
  <c r="J1022" i="2"/>
  <c r="I1022" i="2"/>
  <c r="H1022" i="2"/>
  <c r="L1022" i="2" s="1"/>
  <c r="E1022" i="2"/>
  <c r="D1022" i="2"/>
  <c r="F1022" i="2" s="1"/>
  <c r="G1022" i="2" s="1"/>
  <c r="M1022" i="2" s="1"/>
  <c r="C1022" i="2"/>
  <c r="B1022" i="2"/>
  <c r="A1022" i="2"/>
  <c r="K1021" i="2"/>
  <c r="J1021" i="2"/>
  <c r="I1021" i="2"/>
  <c r="H1021" i="2"/>
  <c r="L1021" i="2" s="1"/>
  <c r="G1021" i="2"/>
  <c r="F1021" i="2"/>
  <c r="E1021" i="2"/>
  <c r="D1021" i="2"/>
  <c r="C1021" i="2"/>
  <c r="B1021" i="2"/>
  <c r="A1021" i="2"/>
  <c r="K1020" i="2"/>
  <c r="J1020" i="2"/>
  <c r="I1020" i="2"/>
  <c r="H1020" i="2"/>
  <c r="E1020" i="2"/>
  <c r="D1020" i="2"/>
  <c r="C1020" i="2"/>
  <c r="F1020" i="2" s="1"/>
  <c r="B1020" i="2"/>
  <c r="G1020" i="2" s="1"/>
  <c r="A1020" i="2"/>
  <c r="L1019" i="2"/>
  <c r="K1019" i="2"/>
  <c r="J1019" i="2"/>
  <c r="I1019" i="2"/>
  <c r="H1019" i="2"/>
  <c r="E1019" i="2"/>
  <c r="D1019" i="2"/>
  <c r="C1019" i="2"/>
  <c r="F1019" i="2" s="1"/>
  <c r="B1019" i="2"/>
  <c r="A1019" i="2"/>
  <c r="K1018" i="2"/>
  <c r="J1018" i="2"/>
  <c r="I1018" i="2"/>
  <c r="H1018" i="2"/>
  <c r="L1018" i="2" s="1"/>
  <c r="F1018" i="2"/>
  <c r="G1018" i="2" s="1"/>
  <c r="M1018" i="2" s="1"/>
  <c r="E1018" i="2"/>
  <c r="D1018" i="2"/>
  <c r="C1018" i="2"/>
  <c r="B1018" i="2"/>
  <c r="A1018" i="2"/>
  <c r="K1017" i="2"/>
  <c r="J1017" i="2"/>
  <c r="I1017" i="2"/>
  <c r="H1017" i="2"/>
  <c r="E1017" i="2"/>
  <c r="D1017" i="2"/>
  <c r="C1017" i="2"/>
  <c r="F1017" i="2" s="1"/>
  <c r="B1017" i="2"/>
  <c r="G1017" i="2" s="1"/>
  <c r="A1017" i="2"/>
  <c r="L1016" i="2"/>
  <c r="K1016" i="2"/>
  <c r="J1016" i="2"/>
  <c r="I1016" i="2"/>
  <c r="H1016" i="2"/>
  <c r="E1016" i="2"/>
  <c r="D1016" i="2"/>
  <c r="C1016" i="2"/>
  <c r="F1016" i="2" s="1"/>
  <c r="B1016" i="2"/>
  <c r="G1016" i="2" s="1"/>
  <c r="A1016" i="2"/>
  <c r="K1015" i="2"/>
  <c r="J1015" i="2"/>
  <c r="I1015" i="2"/>
  <c r="H1015" i="2"/>
  <c r="L1015" i="2" s="1"/>
  <c r="E1015" i="2"/>
  <c r="D1015" i="2"/>
  <c r="C1015" i="2"/>
  <c r="B1015" i="2"/>
  <c r="A1015" i="2"/>
  <c r="K1014" i="2"/>
  <c r="J1014" i="2"/>
  <c r="I1014" i="2"/>
  <c r="H1014" i="2"/>
  <c r="L1014" i="2" s="1"/>
  <c r="E1014" i="2"/>
  <c r="F1014" i="2" s="1"/>
  <c r="G1014" i="2" s="1"/>
  <c r="M1014" i="2" s="1"/>
  <c r="D1014" i="2"/>
  <c r="C1014" i="2"/>
  <c r="B1014" i="2"/>
  <c r="A1014" i="2"/>
  <c r="K1013" i="2"/>
  <c r="J1013" i="2"/>
  <c r="L1013" i="2" s="1"/>
  <c r="M1013" i="2" s="1"/>
  <c r="I1013" i="2"/>
  <c r="H1013" i="2"/>
  <c r="E1013" i="2"/>
  <c r="D1013" i="2"/>
  <c r="C1013" i="2"/>
  <c r="F1013" i="2" s="1"/>
  <c r="B1013" i="2"/>
  <c r="G1013" i="2" s="1"/>
  <c r="A1013" i="2"/>
  <c r="K1012" i="2"/>
  <c r="J1012" i="2"/>
  <c r="I1012" i="2"/>
  <c r="H1012" i="2"/>
  <c r="L1012" i="2" s="1"/>
  <c r="F1012" i="2"/>
  <c r="G1012" i="2" s="1"/>
  <c r="M1012" i="2" s="1"/>
  <c r="E1012" i="2"/>
  <c r="D1012" i="2"/>
  <c r="C1012" i="2"/>
  <c r="B1012" i="2"/>
  <c r="A1012" i="2"/>
  <c r="K1011" i="2"/>
  <c r="J1011" i="2"/>
  <c r="I1011" i="2"/>
  <c r="H1011" i="2"/>
  <c r="G1011" i="2"/>
  <c r="F1011" i="2"/>
  <c r="E1011" i="2"/>
  <c r="D1011" i="2"/>
  <c r="C1011" i="2"/>
  <c r="B1011" i="2"/>
  <c r="A1011" i="2"/>
  <c r="K1010" i="2"/>
  <c r="J1010" i="2"/>
  <c r="I1010" i="2"/>
  <c r="L1010" i="2" s="1"/>
  <c r="H1010" i="2"/>
  <c r="E1010" i="2"/>
  <c r="D1010" i="2"/>
  <c r="C1010" i="2"/>
  <c r="F1010" i="2" s="1"/>
  <c r="B1010" i="2"/>
  <c r="G1010" i="2" s="1"/>
  <c r="A1010" i="2"/>
  <c r="L1009" i="2"/>
  <c r="K1009" i="2"/>
  <c r="J1009" i="2"/>
  <c r="I1009" i="2"/>
  <c r="H1009" i="2"/>
  <c r="E1009" i="2"/>
  <c r="D1009" i="2"/>
  <c r="C1009" i="2"/>
  <c r="F1009" i="2" s="1"/>
  <c r="B1009" i="2"/>
  <c r="A1009" i="2"/>
  <c r="K1008" i="2"/>
  <c r="J1008" i="2"/>
  <c r="I1008" i="2"/>
  <c r="H1008" i="2"/>
  <c r="L1008" i="2" s="1"/>
  <c r="E1008" i="2"/>
  <c r="F1008" i="2" s="1"/>
  <c r="G1008" i="2" s="1"/>
  <c r="M1008" i="2" s="1"/>
  <c r="D1008" i="2"/>
  <c r="C1008" i="2"/>
  <c r="B1008" i="2"/>
  <c r="A1008" i="2"/>
  <c r="K1007" i="2"/>
  <c r="J1007" i="2"/>
  <c r="I1007" i="2"/>
  <c r="H1007" i="2"/>
  <c r="E1007" i="2"/>
  <c r="D1007" i="2"/>
  <c r="C1007" i="2"/>
  <c r="F1007" i="2" s="1"/>
  <c r="B1007" i="2"/>
  <c r="G1007" i="2" s="1"/>
  <c r="A1007" i="2"/>
  <c r="K1006" i="2"/>
  <c r="L1006" i="2" s="1"/>
  <c r="J1006" i="2"/>
  <c r="I1006" i="2"/>
  <c r="H1006" i="2"/>
  <c r="E1006" i="2"/>
  <c r="D1006" i="2"/>
  <c r="C1006" i="2"/>
  <c r="B1006" i="2"/>
  <c r="A1006" i="2"/>
  <c r="K1005" i="2"/>
  <c r="J1005" i="2"/>
  <c r="I1005" i="2"/>
  <c r="H1005" i="2"/>
  <c r="L1005" i="2" s="1"/>
  <c r="E1005" i="2"/>
  <c r="D1005" i="2"/>
  <c r="F1005" i="2" s="1"/>
  <c r="G1005" i="2" s="1"/>
  <c r="M1005" i="2" s="1"/>
  <c r="C1005" i="2"/>
  <c r="B1005" i="2"/>
  <c r="A1005" i="2"/>
  <c r="K1004" i="2"/>
  <c r="J1004" i="2"/>
  <c r="I1004" i="2"/>
  <c r="H1004" i="2"/>
  <c r="L1004" i="2" s="1"/>
  <c r="E1004" i="2"/>
  <c r="F1004" i="2" s="1"/>
  <c r="G1004" i="2" s="1"/>
  <c r="D1004" i="2"/>
  <c r="C1004" i="2"/>
  <c r="B1004" i="2"/>
  <c r="A1004" i="2"/>
  <c r="K1003" i="2"/>
  <c r="J1003" i="2"/>
  <c r="I1003" i="2"/>
  <c r="H1003" i="2"/>
  <c r="E1003" i="2"/>
  <c r="D1003" i="2"/>
  <c r="C1003" i="2"/>
  <c r="F1003" i="2" s="1"/>
  <c r="B1003" i="2"/>
  <c r="G1003" i="2" s="1"/>
  <c r="A1003" i="2"/>
  <c r="K1002" i="2"/>
  <c r="J1002" i="2"/>
  <c r="I1002" i="2"/>
  <c r="H1002" i="2"/>
  <c r="L1002" i="2" s="1"/>
  <c r="E1002" i="2"/>
  <c r="D1002" i="2"/>
  <c r="C1002" i="2"/>
  <c r="F1002" i="2" s="1"/>
  <c r="G1002" i="2" s="1"/>
  <c r="M1002" i="2" s="1"/>
  <c r="B1002" i="2"/>
  <c r="A1002" i="2"/>
  <c r="K1001" i="2"/>
  <c r="J1001" i="2"/>
  <c r="I1001" i="2"/>
  <c r="H1001" i="2"/>
  <c r="F1001" i="2"/>
  <c r="G1001" i="2" s="1"/>
  <c r="E1001" i="2"/>
  <c r="D1001" i="2"/>
  <c r="C1001" i="2"/>
  <c r="B1001" i="2"/>
  <c r="A1001" i="2"/>
  <c r="L1000" i="2"/>
  <c r="K1000" i="2"/>
  <c r="J1000" i="2"/>
  <c r="I1000" i="2"/>
  <c r="H1000" i="2"/>
  <c r="E1000" i="2"/>
  <c r="D1000" i="2"/>
  <c r="C1000" i="2"/>
  <c r="F1000" i="2" s="1"/>
  <c r="B1000" i="2"/>
  <c r="G1000" i="2" s="1"/>
  <c r="M1000" i="2" s="1"/>
  <c r="A1000" i="2"/>
  <c r="L999" i="2"/>
  <c r="K999" i="2"/>
  <c r="J999" i="2"/>
  <c r="I999" i="2"/>
  <c r="H999" i="2"/>
  <c r="E999" i="2"/>
  <c r="D999" i="2"/>
  <c r="C999" i="2"/>
  <c r="F999" i="2" s="1"/>
  <c r="B999" i="2"/>
  <c r="A999" i="2"/>
  <c r="K998" i="2"/>
  <c r="J998" i="2"/>
  <c r="I998" i="2"/>
  <c r="H998" i="2"/>
  <c r="L998" i="2" s="1"/>
  <c r="E998" i="2"/>
  <c r="F998" i="2" s="1"/>
  <c r="G998" i="2" s="1"/>
  <c r="M998" i="2" s="1"/>
  <c r="D998" i="2"/>
  <c r="C998" i="2"/>
  <c r="B998" i="2"/>
  <c r="A998" i="2"/>
  <c r="K997" i="2"/>
  <c r="J997" i="2"/>
  <c r="I997" i="2"/>
  <c r="H997" i="2"/>
  <c r="E997" i="2"/>
  <c r="D997" i="2"/>
  <c r="C997" i="2"/>
  <c r="F997" i="2" s="1"/>
  <c r="B997" i="2"/>
  <c r="G997" i="2" s="1"/>
  <c r="A997" i="2"/>
  <c r="K996" i="2"/>
  <c r="L996" i="2" s="1"/>
  <c r="J996" i="2"/>
  <c r="I996" i="2"/>
  <c r="H996" i="2"/>
  <c r="E996" i="2"/>
  <c r="D996" i="2"/>
  <c r="C996" i="2"/>
  <c r="B996" i="2"/>
  <c r="A996" i="2"/>
  <c r="K995" i="2"/>
  <c r="J995" i="2"/>
  <c r="I995" i="2"/>
  <c r="H995" i="2"/>
  <c r="L995" i="2" s="1"/>
  <c r="E995" i="2"/>
  <c r="D995" i="2"/>
  <c r="F995" i="2" s="1"/>
  <c r="G995" i="2" s="1"/>
  <c r="M995" i="2" s="1"/>
  <c r="C995" i="2"/>
  <c r="B995" i="2"/>
  <c r="A995" i="2"/>
  <c r="K994" i="2"/>
  <c r="J994" i="2"/>
  <c r="I994" i="2"/>
  <c r="H994" i="2"/>
  <c r="G994" i="2"/>
  <c r="E994" i="2"/>
  <c r="F994" i="2" s="1"/>
  <c r="D994" i="2"/>
  <c r="C994" i="2"/>
  <c r="B994" i="2"/>
  <c r="A994" i="2"/>
  <c r="K993" i="2"/>
  <c r="J993" i="2"/>
  <c r="I993" i="2"/>
  <c r="H993" i="2"/>
  <c r="E993" i="2"/>
  <c r="D993" i="2"/>
  <c r="C993" i="2"/>
  <c r="F993" i="2" s="1"/>
  <c r="B993" i="2"/>
  <c r="G993" i="2" s="1"/>
  <c r="A993" i="2"/>
  <c r="K992" i="2"/>
  <c r="J992" i="2"/>
  <c r="I992" i="2"/>
  <c r="H992" i="2"/>
  <c r="L992" i="2" s="1"/>
  <c r="E992" i="2"/>
  <c r="D992" i="2"/>
  <c r="C992" i="2"/>
  <c r="F992" i="2" s="1"/>
  <c r="G992" i="2" s="1"/>
  <c r="M992" i="2" s="1"/>
  <c r="B992" i="2"/>
  <c r="A992" i="2"/>
  <c r="K991" i="2"/>
  <c r="J991" i="2"/>
  <c r="I991" i="2"/>
  <c r="H991" i="2"/>
  <c r="L991" i="2" s="1"/>
  <c r="F991" i="2"/>
  <c r="G991" i="2" s="1"/>
  <c r="M991" i="2" s="1"/>
  <c r="E991" i="2"/>
  <c r="D991" i="2"/>
  <c r="C991" i="2"/>
  <c r="B991" i="2"/>
  <c r="A991" i="2"/>
  <c r="K990" i="2"/>
  <c r="J990" i="2"/>
  <c r="I990" i="2"/>
  <c r="L990" i="2" s="1"/>
  <c r="H990" i="2"/>
  <c r="E990" i="2"/>
  <c r="D990" i="2"/>
  <c r="C990" i="2"/>
  <c r="F990" i="2" s="1"/>
  <c r="B990" i="2"/>
  <c r="A990" i="2"/>
  <c r="L989" i="2"/>
  <c r="K989" i="2"/>
  <c r="J989" i="2"/>
  <c r="I989" i="2"/>
  <c r="H989" i="2"/>
  <c r="E989" i="2"/>
  <c r="D989" i="2"/>
  <c r="C989" i="2"/>
  <c r="B989" i="2"/>
  <c r="A989" i="2"/>
  <c r="K988" i="2"/>
  <c r="J988" i="2"/>
  <c r="I988" i="2"/>
  <c r="H988" i="2"/>
  <c r="L988" i="2" s="1"/>
  <c r="E988" i="2"/>
  <c r="F988" i="2" s="1"/>
  <c r="G988" i="2" s="1"/>
  <c r="M988" i="2" s="1"/>
  <c r="D988" i="2"/>
  <c r="C988" i="2"/>
  <c r="B988" i="2"/>
  <c r="A988" i="2"/>
  <c r="K987" i="2"/>
  <c r="J987" i="2"/>
  <c r="I987" i="2"/>
  <c r="H987" i="2"/>
  <c r="L987" i="2" s="1"/>
  <c r="E987" i="2"/>
  <c r="D987" i="2"/>
  <c r="C987" i="2"/>
  <c r="F987" i="2" s="1"/>
  <c r="B987" i="2"/>
  <c r="A987" i="2"/>
  <c r="K986" i="2"/>
  <c r="L986" i="2" s="1"/>
  <c r="J986" i="2"/>
  <c r="I986" i="2"/>
  <c r="H986" i="2"/>
  <c r="E986" i="2"/>
  <c r="D986" i="2"/>
  <c r="C986" i="2"/>
  <c r="F986" i="2" s="1"/>
  <c r="B986" i="2"/>
  <c r="A986" i="2"/>
  <c r="K985" i="2"/>
  <c r="J985" i="2"/>
  <c r="I985" i="2"/>
  <c r="H985" i="2"/>
  <c r="L985" i="2" s="1"/>
  <c r="E985" i="2"/>
  <c r="D985" i="2"/>
  <c r="F985" i="2" s="1"/>
  <c r="G985" i="2" s="1"/>
  <c r="M985" i="2" s="1"/>
  <c r="C985" i="2"/>
  <c r="B985" i="2"/>
  <c r="A985" i="2"/>
  <c r="K984" i="2"/>
  <c r="J984" i="2"/>
  <c r="I984" i="2"/>
  <c r="H984" i="2"/>
  <c r="L984" i="2" s="1"/>
  <c r="G984" i="2"/>
  <c r="M984" i="2" s="1"/>
  <c r="E984" i="2"/>
  <c r="F984" i="2" s="1"/>
  <c r="D984" i="2"/>
  <c r="C984" i="2"/>
  <c r="B984" i="2"/>
  <c r="A984" i="2"/>
  <c r="K983" i="2"/>
  <c r="J983" i="2"/>
  <c r="L983" i="2" s="1"/>
  <c r="I983" i="2"/>
  <c r="H983" i="2"/>
  <c r="E983" i="2"/>
  <c r="D983" i="2"/>
  <c r="C983" i="2"/>
  <c r="F983" i="2" s="1"/>
  <c r="B983" i="2"/>
  <c r="A983" i="2"/>
  <c r="K982" i="2"/>
  <c r="J982" i="2"/>
  <c r="I982" i="2"/>
  <c r="H982" i="2"/>
  <c r="L982" i="2" s="1"/>
  <c r="E982" i="2"/>
  <c r="D982" i="2"/>
  <c r="C982" i="2"/>
  <c r="F982" i="2" s="1"/>
  <c r="G982" i="2" s="1"/>
  <c r="M982" i="2" s="1"/>
  <c r="B982" i="2"/>
  <c r="A982" i="2"/>
  <c r="K981" i="2"/>
  <c r="J981" i="2"/>
  <c r="I981" i="2"/>
  <c r="H981" i="2"/>
  <c r="L981" i="2" s="1"/>
  <c r="F981" i="2"/>
  <c r="G981" i="2" s="1"/>
  <c r="M981" i="2" s="1"/>
  <c r="E981" i="2"/>
  <c r="D981" i="2"/>
  <c r="C981" i="2"/>
  <c r="B981" i="2"/>
  <c r="A981" i="2"/>
  <c r="K980" i="2"/>
  <c r="J980" i="2"/>
  <c r="L980" i="2" s="1"/>
  <c r="I980" i="2"/>
  <c r="H980" i="2"/>
  <c r="E980" i="2"/>
  <c r="D980" i="2"/>
  <c r="C980" i="2"/>
  <c r="F980" i="2" s="1"/>
  <c r="B980" i="2"/>
  <c r="A980" i="2"/>
  <c r="L979" i="2"/>
  <c r="K979" i="2"/>
  <c r="J979" i="2"/>
  <c r="I979" i="2"/>
  <c r="H979" i="2"/>
  <c r="E979" i="2"/>
  <c r="D979" i="2"/>
  <c r="C979" i="2"/>
  <c r="B979" i="2"/>
  <c r="A979" i="2"/>
  <c r="K978" i="2"/>
  <c r="J978" i="2"/>
  <c r="I978" i="2"/>
  <c r="H978" i="2"/>
  <c r="L978" i="2" s="1"/>
  <c r="F978" i="2"/>
  <c r="G978" i="2" s="1"/>
  <c r="E978" i="2"/>
  <c r="D978" i="2"/>
  <c r="C978" i="2"/>
  <c r="B978" i="2"/>
  <c r="A978" i="2"/>
  <c r="K977" i="2"/>
  <c r="J977" i="2"/>
  <c r="I977" i="2"/>
  <c r="H977" i="2"/>
  <c r="L977" i="2" s="1"/>
  <c r="E977" i="2"/>
  <c r="D977" i="2"/>
  <c r="C977" i="2"/>
  <c r="F977" i="2" s="1"/>
  <c r="B977" i="2"/>
  <c r="A977" i="2"/>
  <c r="L976" i="2"/>
  <c r="K976" i="2"/>
  <c r="J976" i="2"/>
  <c r="I976" i="2"/>
  <c r="H976" i="2"/>
  <c r="E976" i="2"/>
  <c r="D976" i="2"/>
  <c r="C976" i="2"/>
  <c r="F976" i="2" s="1"/>
  <c r="B976" i="2"/>
  <c r="A976" i="2"/>
  <c r="K975" i="2"/>
  <c r="J975" i="2"/>
  <c r="I975" i="2"/>
  <c r="H975" i="2"/>
  <c r="L975" i="2" s="1"/>
  <c r="E975" i="2"/>
  <c r="D975" i="2"/>
  <c r="F975" i="2" s="1"/>
  <c r="G975" i="2" s="1"/>
  <c r="M975" i="2" s="1"/>
  <c r="C975" i="2"/>
  <c r="B975" i="2"/>
  <c r="A975" i="2"/>
  <c r="K974" i="2"/>
  <c r="J974" i="2"/>
  <c r="I974" i="2"/>
  <c r="H974" i="2"/>
  <c r="L974" i="2" s="1"/>
  <c r="G974" i="2"/>
  <c r="E974" i="2"/>
  <c r="F974" i="2" s="1"/>
  <c r="D974" i="2"/>
  <c r="C974" i="2"/>
  <c r="B974" i="2"/>
  <c r="A974" i="2"/>
  <c r="K973" i="2"/>
  <c r="J973" i="2"/>
  <c r="L973" i="2" s="1"/>
  <c r="I973" i="2"/>
  <c r="H973" i="2"/>
  <c r="E973" i="2"/>
  <c r="D973" i="2"/>
  <c r="C973" i="2"/>
  <c r="F973" i="2" s="1"/>
  <c r="B973" i="2"/>
  <c r="G973" i="2" s="1"/>
  <c r="A973" i="2"/>
  <c r="K972" i="2"/>
  <c r="J972" i="2"/>
  <c r="I972" i="2"/>
  <c r="H972" i="2"/>
  <c r="L972" i="2" s="1"/>
  <c r="E972" i="2"/>
  <c r="D972" i="2"/>
  <c r="C972" i="2"/>
  <c r="F972" i="2" s="1"/>
  <c r="G972" i="2" s="1"/>
  <c r="M972" i="2" s="1"/>
  <c r="B972" i="2"/>
  <c r="A972" i="2"/>
  <c r="K971" i="2"/>
  <c r="J971" i="2"/>
  <c r="I971" i="2"/>
  <c r="H971" i="2"/>
  <c r="L971" i="2" s="1"/>
  <c r="F971" i="2"/>
  <c r="G971" i="2" s="1"/>
  <c r="E971" i="2"/>
  <c r="D971" i="2"/>
  <c r="C971" i="2"/>
  <c r="B971" i="2"/>
  <c r="A971" i="2"/>
  <c r="K970" i="2"/>
  <c r="L970" i="2" s="1"/>
  <c r="M970" i="2" s="1"/>
  <c r="J970" i="2"/>
  <c r="I970" i="2"/>
  <c r="H970" i="2"/>
  <c r="E970" i="2"/>
  <c r="D970" i="2"/>
  <c r="C970" i="2"/>
  <c r="F970" i="2" s="1"/>
  <c r="B970" i="2"/>
  <c r="G970" i="2" s="1"/>
  <c r="A970" i="2"/>
  <c r="L969" i="2"/>
  <c r="K969" i="2"/>
  <c r="J969" i="2"/>
  <c r="I969" i="2"/>
  <c r="H969" i="2"/>
  <c r="E969" i="2"/>
  <c r="D969" i="2"/>
  <c r="C969" i="2"/>
  <c r="F969" i="2" s="1"/>
  <c r="B969" i="2"/>
  <c r="A969" i="2"/>
  <c r="K968" i="2"/>
  <c r="J968" i="2"/>
  <c r="I968" i="2"/>
  <c r="H968" i="2"/>
  <c r="E968" i="2"/>
  <c r="F968" i="2" s="1"/>
  <c r="G968" i="2" s="1"/>
  <c r="D968" i="2"/>
  <c r="C968" i="2"/>
  <c r="B968" i="2"/>
  <c r="A968" i="2"/>
  <c r="K967" i="2"/>
  <c r="J967" i="2"/>
  <c r="I967" i="2"/>
  <c r="H967" i="2"/>
  <c r="L967" i="2" s="1"/>
  <c r="E967" i="2"/>
  <c r="D967" i="2"/>
  <c r="C967" i="2"/>
  <c r="F967" i="2" s="1"/>
  <c r="B967" i="2"/>
  <c r="G967" i="2" s="1"/>
  <c r="A967" i="2"/>
  <c r="L966" i="2"/>
  <c r="K966" i="2"/>
  <c r="J966" i="2"/>
  <c r="I966" i="2"/>
  <c r="H966" i="2"/>
  <c r="E966" i="2"/>
  <c r="D966" i="2"/>
  <c r="C966" i="2"/>
  <c r="B966" i="2"/>
  <c r="A966" i="2"/>
  <c r="K965" i="2"/>
  <c r="J965" i="2"/>
  <c r="I965" i="2"/>
  <c r="H965" i="2"/>
  <c r="L965" i="2" s="1"/>
  <c r="G965" i="2"/>
  <c r="M965" i="2" s="1"/>
  <c r="F965" i="2"/>
  <c r="E965" i="2"/>
  <c r="D965" i="2"/>
  <c r="C965" i="2"/>
  <c r="B965" i="2"/>
  <c r="A965" i="2"/>
  <c r="K964" i="2"/>
  <c r="J964" i="2"/>
  <c r="I964" i="2"/>
  <c r="H964" i="2"/>
  <c r="L964" i="2" s="1"/>
  <c r="G964" i="2"/>
  <c r="E964" i="2"/>
  <c r="F964" i="2" s="1"/>
  <c r="D964" i="2"/>
  <c r="C964" i="2"/>
  <c r="B964" i="2"/>
  <c r="A964" i="2"/>
  <c r="K963" i="2"/>
  <c r="J963" i="2"/>
  <c r="L963" i="2" s="1"/>
  <c r="I963" i="2"/>
  <c r="H963" i="2"/>
  <c r="E963" i="2"/>
  <c r="D963" i="2"/>
  <c r="C963" i="2"/>
  <c r="F963" i="2" s="1"/>
  <c r="B963" i="2"/>
  <c r="G963" i="2" s="1"/>
  <c r="A963" i="2"/>
  <c r="K962" i="2"/>
  <c r="J962" i="2"/>
  <c r="I962" i="2"/>
  <c r="H962" i="2"/>
  <c r="L962" i="2" s="1"/>
  <c r="G962" i="2"/>
  <c r="M962" i="2" s="1"/>
  <c r="E962" i="2"/>
  <c r="D962" i="2"/>
  <c r="C962" i="2"/>
  <c r="F962" i="2" s="1"/>
  <c r="B962" i="2"/>
  <c r="A962" i="2"/>
  <c r="K961" i="2"/>
  <c r="J961" i="2"/>
  <c r="I961" i="2"/>
  <c r="H961" i="2"/>
  <c r="F961" i="2"/>
  <c r="G961" i="2" s="1"/>
  <c r="E961" i="2"/>
  <c r="D961" i="2"/>
  <c r="C961" i="2"/>
  <c r="B961" i="2"/>
  <c r="A961" i="2"/>
  <c r="K960" i="2"/>
  <c r="L960" i="2" s="1"/>
  <c r="M960" i="2" s="1"/>
  <c r="J960" i="2"/>
  <c r="I960" i="2"/>
  <c r="H960" i="2"/>
  <c r="E960" i="2"/>
  <c r="D960" i="2"/>
  <c r="C960" i="2"/>
  <c r="F960" i="2" s="1"/>
  <c r="B960" i="2"/>
  <c r="G960" i="2" s="1"/>
  <c r="A960" i="2"/>
  <c r="L959" i="2"/>
  <c r="K959" i="2"/>
  <c r="J959" i="2"/>
  <c r="I959" i="2"/>
  <c r="H959" i="2"/>
  <c r="E959" i="2"/>
  <c r="D959" i="2"/>
  <c r="C959" i="2"/>
  <c r="B959" i="2"/>
  <c r="A959" i="2"/>
  <c r="K958" i="2"/>
  <c r="J958" i="2"/>
  <c r="I958" i="2"/>
  <c r="H958" i="2"/>
  <c r="E958" i="2"/>
  <c r="F958" i="2" s="1"/>
  <c r="G958" i="2" s="1"/>
  <c r="D958" i="2"/>
  <c r="C958" i="2"/>
  <c r="B958" i="2"/>
  <c r="A958" i="2"/>
  <c r="K957" i="2"/>
  <c r="J957" i="2"/>
  <c r="I957" i="2"/>
  <c r="H957" i="2"/>
  <c r="L957" i="2" s="1"/>
  <c r="E957" i="2"/>
  <c r="D957" i="2"/>
  <c r="C957" i="2"/>
  <c r="F957" i="2" s="1"/>
  <c r="B957" i="2"/>
  <c r="G957" i="2" s="1"/>
  <c r="A957" i="2"/>
  <c r="L956" i="2"/>
  <c r="K956" i="2"/>
  <c r="J956" i="2"/>
  <c r="I956" i="2"/>
  <c r="H956" i="2"/>
  <c r="E956" i="2"/>
  <c r="D956" i="2"/>
  <c r="F956" i="2" s="1"/>
  <c r="C956" i="2"/>
  <c r="B956" i="2"/>
  <c r="A956" i="2"/>
  <c r="K955" i="2"/>
  <c r="J955" i="2"/>
  <c r="I955" i="2"/>
  <c r="H955" i="2"/>
  <c r="L955" i="2" s="1"/>
  <c r="E955" i="2"/>
  <c r="F955" i="2" s="1"/>
  <c r="G955" i="2" s="1"/>
  <c r="M955" i="2" s="1"/>
  <c r="D955" i="2"/>
  <c r="C955" i="2"/>
  <c r="B955" i="2"/>
  <c r="A955" i="2"/>
  <c r="K954" i="2"/>
  <c r="J954" i="2"/>
  <c r="I954" i="2"/>
  <c r="H954" i="2"/>
  <c r="G954" i="2"/>
  <c r="E954" i="2"/>
  <c r="F954" i="2" s="1"/>
  <c r="D954" i="2"/>
  <c r="C954" i="2"/>
  <c r="B954" i="2"/>
  <c r="A954" i="2"/>
  <c r="K953" i="2"/>
  <c r="L953" i="2" s="1"/>
  <c r="J953" i="2"/>
  <c r="I953" i="2"/>
  <c r="H953" i="2"/>
  <c r="E953" i="2"/>
  <c r="D953" i="2"/>
  <c r="C953" i="2"/>
  <c r="B953" i="2"/>
  <c r="A953" i="2"/>
  <c r="K952" i="2"/>
  <c r="J952" i="2"/>
  <c r="I952" i="2"/>
  <c r="H952" i="2"/>
  <c r="L952" i="2" s="1"/>
  <c r="E952" i="2"/>
  <c r="D952" i="2"/>
  <c r="F952" i="2" s="1"/>
  <c r="G952" i="2" s="1"/>
  <c r="M952" i="2" s="1"/>
  <c r="C952" i="2"/>
  <c r="B952" i="2"/>
  <c r="A952" i="2"/>
  <c r="K951" i="2"/>
  <c r="J951" i="2"/>
  <c r="I951" i="2"/>
  <c r="H951" i="2"/>
  <c r="G951" i="2"/>
  <c r="F951" i="2"/>
  <c r="E951" i="2"/>
  <c r="D951" i="2"/>
  <c r="C951" i="2"/>
  <c r="B951" i="2"/>
  <c r="A951" i="2"/>
  <c r="K950" i="2"/>
  <c r="J950" i="2"/>
  <c r="I950" i="2"/>
  <c r="L950" i="2" s="1"/>
  <c r="H950" i="2"/>
  <c r="E950" i="2"/>
  <c r="D950" i="2"/>
  <c r="C950" i="2"/>
  <c r="B950" i="2"/>
  <c r="A950" i="2"/>
  <c r="L949" i="2"/>
  <c r="K949" i="2"/>
  <c r="J949" i="2"/>
  <c r="I949" i="2"/>
  <c r="H949" i="2"/>
  <c r="G949" i="2"/>
  <c r="M949" i="2" s="1"/>
  <c r="F949" i="2"/>
  <c r="E949" i="2"/>
  <c r="D949" i="2"/>
  <c r="C949" i="2"/>
  <c r="B949" i="2"/>
  <c r="A949" i="2"/>
  <c r="K948" i="2"/>
  <c r="J948" i="2"/>
  <c r="I948" i="2"/>
  <c r="H948" i="2"/>
  <c r="L948" i="2" s="1"/>
  <c r="G948" i="2"/>
  <c r="E948" i="2"/>
  <c r="F948" i="2" s="1"/>
  <c r="D948" i="2"/>
  <c r="C948" i="2"/>
  <c r="B948" i="2"/>
  <c r="A948" i="2"/>
  <c r="K947" i="2"/>
  <c r="J947" i="2"/>
  <c r="I947" i="2"/>
  <c r="H947" i="2"/>
  <c r="L947" i="2" s="1"/>
  <c r="E947" i="2"/>
  <c r="D947" i="2"/>
  <c r="C947" i="2"/>
  <c r="F947" i="2" s="1"/>
  <c r="B947" i="2"/>
  <c r="A947" i="2"/>
  <c r="L946" i="2"/>
  <c r="K946" i="2"/>
  <c r="J946" i="2"/>
  <c r="I946" i="2"/>
  <c r="H946" i="2"/>
  <c r="E946" i="2"/>
  <c r="D946" i="2"/>
  <c r="C946" i="2"/>
  <c r="F946" i="2" s="1"/>
  <c r="B946" i="2"/>
  <c r="A946" i="2"/>
  <c r="K945" i="2"/>
  <c r="J945" i="2"/>
  <c r="I945" i="2"/>
  <c r="H945" i="2"/>
  <c r="E945" i="2"/>
  <c r="D945" i="2"/>
  <c r="F945" i="2" s="1"/>
  <c r="G945" i="2" s="1"/>
  <c r="C945" i="2"/>
  <c r="B945" i="2"/>
  <c r="A945" i="2"/>
  <c r="K944" i="2"/>
  <c r="L944" i="2" s="1"/>
  <c r="J944" i="2"/>
  <c r="I944" i="2"/>
  <c r="H944" i="2"/>
  <c r="E944" i="2"/>
  <c r="F944" i="2" s="1"/>
  <c r="D944" i="2"/>
  <c r="C944" i="2"/>
  <c r="B944" i="2"/>
  <c r="G944" i="2" s="1"/>
  <c r="A944" i="2"/>
  <c r="K943" i="2"/>
  <c r="J943" i="2"/>
  <c r="L943" i="2" s="1"/>
  <c r="I943" i="2"/>
  <c r="H943" i="2"/>
  <c r="E943" i="2"/>
  <c r="D943" i="2"/>
  <c r="C943" i="2"/>
  <c r="B943" i="2"/>
  <c r="A943" i="2"/>
  <c r="K942" i="2"/>
  <c r="J942" i="2"/>
  <c r="I942" i="2"/>
  <c r="H942" i="2"/>
  <c r="L942" i="2" s="1"/>
  <c r="E942" i="2"/>
  <c r="F942" i="2" s="1"/>
  <c r="G942" i="2" s="1"/>
  <c r="M942" i="2" s="1"/>
  <c r="D942" i="2"/>
  <c r="C942" i="2"/>
  <c r="B942" i="2"/>
  <c r="A942" i="2"/>
  <c r="K941" i="2"/>
  <c r="J941" i="2"/>
  <c r="I941" i="2"/>
  <c r="H941" i="2"/>
  <c r="F941" i="2"/>
  <c r="G941" i="2" s="1"/>
  <c r="E941" i="2"/>
  <c r="D941" i="2"/>
  <c r="C941" i="2"/>
  <c r="B941" i="2"/>
  <c r="A941" i="2"/>
  <c r="K940" i="2"/>
  <c r="J940" i="2"/>
  <c r="I940" i="2"/>
  <c r="H940" i="2"/>
  <c r="E940" i="2"/>
  <c r="D940" i="2"/>
  <c r="C940" i="2"/>
  <c r="F940" i="2" s="1"/>
  <c r="B940" i="2"/>
  <c r="G940" i="2" s="1"/>
  <c r="A940" i="2"/>
  <c r="K939" i="2"/>
  <c r="L939" i="2" s="1"/>
  <c r="J939" i="2"/>
  <c r="I939" i="2"/>
  <c r="H939" i="2"/>
  <c r="E939" i="2"/>
  <c r="D939" i="2"/>
  <c r="C939" i="2"/>
  <c r="F939" i="2" s="1"/>
  <c r="B939" i="2"/>
  <c r="A939" i="2"/>
  <c r="K938" i="2"/>
  <c r="J938" i="2"/>
  <c r="I938" i="2"/>
  <c r="H938" i="2"/>
  <c r="E938" i="2"/>
  <c r="D938" i="2"/>
  <c r="C938" i="2"/>
  <c r="F938" i="2" s="1"/>
  <c r="G938" i="2" s="1"/>
  <c r="B938" i="2"/>
  <c r="A938" i="2"/>
  <c r="K937" i="2"/>
  <c r="J937" i="2"/>
  <c r="I937" i="2"/>
  <c r="H937" i="2"/>
  <c r="L937" i="2" s="1"/>
  <c r="F937" i="2"/>
  <c r="G937" i="2" s="1"/>
  <c r="M937" i="2" s="1"/>
  <c r="E937" i="2"/>
  <c r="D937" i="2"/>
  <c r="C937" i="2"/>
  <c r="B937" i="2"/>
  <c r="A937" i="2"/>
  <c r="K936" i="2"/>
  <c r="J936" i="2"/>
  <c r="I936" i="2"/>
  <c r="L936" i="2" s="1"/>
  <c r="H936" i="2"/>
  <c r="E936" i="2"/>
  <c r="F936" i="2" s="1"/>
  <c r="D936" i="2"/>
  <c r="C936" i="2"/>
  <c r="B936" i="2"/>
  <c r="A936" i="2"/>
  <c r="K935" i="2"/>
  <c r="J935" i="2"/>
  <c r="I935" i="2"/>
  <c r="H935" i="2"/>
  <c r="L935" i="2" s="1"/>
  <c r="E935" i="2"/>
  <c r="D935" i="2"/>
  <c r="C935" i="2"/>
  <c r="F935" i="2" s="1"/>
  <c r="B935" i="2"/>
  <c r="G935" i="2" s="1"/>
  <c r="M935" i="2" s="1"/>
  <c r="A935" i="2"/>
  <c r="K934" i="2"/>
  <c r="J934" i="2"/>
  <c r="L934" i="2" s="1"/>
  <c r="I934" i="2"/>
  <c r="H934" i="2"/>
  <c r="E934" i="2"/>
  <c r="F934" i="2" s="1"/>
  <c r="D934" i="2"/>
  <c r="C934" i="2"/>
  <c r="B934" i="2"/>
  <c r="G934" i="2" s="1"/>
  <c r="A934" i="2"/>
  <c r="K933" i="2"/>
  <c r="J933" i="2"/>
  <c r="I933" i="2"/>
  <c r="H933" i="2"/>
  <c r="L933" i="2" s="1"/>
  <c r="E933" i="2"/>
  <c r="D933" i="2"/>
  <c r="C933" i="2"/>
  <c r="F933" i="2" s="1"/>
  <c r="B933" i="2"/>
  <c r="A933" i="2"/>
  <c r="K932" i="2"/>
  <c r="J932" i="2"/>
  <c r="I932" i="2"/>
  <c r="H932" i="2"/>
  <c r="L932" i="2" s="1"/>
  <c r="E932" i="2"/>
  <c r="D932" i="2"/>
  <c r="F932" i="2" s="1"/>
  <c r="G932" i="2" s="1"/>
  <c r="M932" i="2" s="1"/>
  <c r="C932" i="2"/>
  <c r="B932" i="2"/>
  <c r="A932" i="2"/>
  <c r="K931" i="2"/>
  <c r="J931" i="2"/>
  <c r="I931" i="2"/>
  <c r="H931" i="2"/>
  <c r="L931" i="2" s="1"/>
  <c r="E931" i="2"/>
  <c r="F931" i="2" s="1"/>
  <c r="G931" i="2" s="1"/>
  <c r="M931" i="2" s="1"/>
  <c r="D931" i="2"/>
  <c r="C931" i="2"/>
  <c r="B931" i="2"/>
  <c r="A931" i="2"/>
  <c r="K930" i="2"/>
  <c r="J930" i="2"/>
  <c r="I930" i="2"/>
  <c r="H930" i="2"/>
  <c r="L930" i="2" s="1"/>
  <c r="E930" i="2"/>
  <c r="D930" i="2"/>
  <c r="C930" i="2"/>
  <c r="B930" i="2"/>
  <c r="A930" i="2"/>
  <c r="K929" i="2"/>
  <c r="J929" i="2"/>
  <c r="L929" i="2" s="1"/>
  <c r="I929" i="2"/>
  <c r="H929" i="2"/>
  <c r="E929" i="2"/>
  <c r="D929" i="2"/>
  <c r="C929" i="2"/>
  <c r="F929" i="2" s="1"/>
  <c r="B929" i="2"/>
  <c r="A929" i="2"/>
  <c r="K928" i="2"/>
  <c r="J928" i="2"/>
  <c r="I928" i="2"/>
  <c r="H928" i="2"/>
  <c r="E928" i="2"/>
  <c r="D928" i="2"/>
  <c r="C928" i="2"/>
  <c r="F928" i="2" s="1"/>
  <c r="G928" i="2" s="1"/>
  <c r="B928" i="2"/>
  <c r="A928" i="2"/>
  <c r="K927" i="2"/>
  <c r="J927" i="2"/>
  <c r="I927" i="2"/>
  <c r="H927" i="2"/>
  <c r="L927" i="2" s="1"/>
  <c r="G927" i="2"/>
  <c r="F927" i="2"/>
  <c r="E927" i="2"/>
  <c r="D927" i="2"/>
  <c r="C927" i="2"/>
  <c r="B927" i="2"/>
  <c r="A927" i="2"/>
  <c r="K926" i="2"/>
  <c r="J926" i="2"/>
  <c r="I926" i="2"/>
  <c r="L926" i="2" s="1"/>
  <c r="H926" i="2"/>
  <c r="E926" i="2"/>
  <c r="D926" i="2"/>
  <c r="C926" i="2"/>
  <c r="F926" i="2" s="1"/>
  <c r="B926" i="2"/>
  <c r="A926" i="2"/>
  <c r="L925" i="2"/>
  <c r="K925" i="2"/>
  <c r="J925" i="2"/>
  <c r="I925" i="2"/>
  <c r="H925" i="2"/>
  <c r="E925" i="2"/>
  <c r="D925" i="2"/>
  <c r="C925" i="2"/>
  <c r="F925" i="2" s="1"/>
  <c r="B925" i="2"/>
  <c r="A925" i="2"/>
  <c r="L924" i="2"/>
  <c r="K924" i="2"/>
  <c r="J924" i="2"/>
  <c r="I924" i="2"/>
  <c r="H924" i="2"/>
  <c r="E924" i="2"/>
  <c r="F924" i="2" s="1"/>
  <c r="D924" i="2"/>
  <c r="C924" i="2"/>
  <c r="B924" i="2"/>
  <c r="A924" i="2"/>
  <c r="K923" i="2"/>
  <c r="J923" i="2"/>
  <c r="I923" i="2"/>
  <c r="H923" i="2"/>
  <c r="L923" i="2" s="1"/>
  <c r="E923" i="2"/>
  <c r="D923" i="2"/>
  <c r="C923" i="2"/>
  <c r="F923" i="2" s="1"/>
  <c r="B923" i="2"/>
  <c r="A923" i="2"/>
  <c r="K922" i="2"/>
  <c r="J922" i="2"/>
  <c r="I922" i="2"/>
  <c r="H922" i="2"/>
  <c r="L922" i="2" s="1"/>
  <c r="F922" i="2"/>
  <c r="G922" i="2" s="1"/>
  <c r="E922" i="2"/>
  <c r="D922" i="2"/>
  <c r="C922" i="2"/>
  <c r="B922" i="2"/>
  <c r="A922" i="2"/>
  <c r="K921" i="2"/>
  <c r="J921" i="2"/>
  <c r="I921" i="2"/>
  <c r="H921" i="2"/>
  <c r="E921" i="2"/>
  <c r="D921" i="2"/>
  <c r="F921" i="2" s="1"/>
  <c r="G921" i="2" s="1"/>
  <c r="C921" i="2"/>
  <c r="B921" i="2"/>
  <c r="A921" i="2"/>
  <c r="K920" i="2"/>
  <c r="J920" i="2"/>
  <c r="L920" i="2" s="1"/>
  <c r="I920" i="2"/>
  <c r="H920" i="2"/>
  <c r="E920" i="2"/>
  <c r="D920" i="2"/>
  <c r="C920" i="2"/>
  <c r="B920" i="2"/>
  <c r="A920" i="2"/>
  <c r="L919" i="2"/>
  <c r="K919" i="2"/>
  <c r="J919" i="2"/>
  <c r="I919" i="2"/>
  <c r="H919" i="2"/>
  <c r="E919" i="2"/>
  <c r="D919" i="2"/>
  <c r="C919" i="2"/>
  <c r="B919" i="2"/>
  <c r="A919" i="2"/>
  <c r="K918" i="2"/>
  <c r="J918" i="2"/>
  <c r="I918" i="2"/>
  <c r="H918" i="2"/>
  <c r="F918" i="2"/>
  <c r="G918" i="2" s="1"/>
  <c r="E918" i="2"/>
  <c r="D918" i="2"/>
  <c r="C918" i="2"/>
  <c r="B918" i="2"/>
  <c r="A918" i="2"/>
  <c r="K917" i="2"/>
  <c r="J917" i="2"/>
  <c r="I917" i="2"/>
  <c r="H917" i="2"/>
  <c r="G917" i="2"/>
  <c r="E917" i="2"/>
  <c r="D917" i="2"/>
  <c r="C917" i="2"/>
  <c r="F917" i="2" s="1"/>
  <c r="B917" i="2"/>
  <c r="A917" i="2"/>
  <c r="L916" i="2"/>
  <c r="M916" i="2" s="1"/>
  <c r="K916" i="2"/>
  <c r="J916" i="2"/>
  <c r="I916" i="2"/>
  <c r="H916" i="2"/>
  <c r="E916" i="2"/>
  <c r="D916" i="2"/>
  <c r="F916" i="2" s="1"/>
  <c r="C916" i="2"/>
  <c r="B916" i="2"/>
  <c r="G916" i="2" s="1"/>
  <c r="A916" i="2"/>
  <c r="M915" i="2"/>
  <c r="L915" i="2"/>
  <c r="K915" i="2"/>
  <c r="J915" i="2"/>
  <c r="I915" i="2"/>
  <c r="H915" i="2"/>
  <c r="E915" i="2"/>
  <c r="D915" i="2"/>
  <c r="C915" i="2"/>
  <c r="F915" i="2" s="1"/>
  <c r="B915" i="2"/>
  <c r="G915" i="2" s="1"/>
  <c r="A915" i="2"/>
  <c r="K914" i="2"/>
  <c r="J914" i="2"/>
  <c r="I914" i="2"/>
  <c r="H914" i="2"/>
  <c r="L914" i="2" s="1"/>
  <c r="E914" i="2"/>
  <c r="F914" i="2" s="1"/>
  <c r="G914" i="2" s="1"/>
  <c r="D914" i="2"/>
  <c r="C914" i="2"/>
  <c r="B914" i="2"/>
  <c r="A914" i="2"/>
  <c r="K913" i="2"/>
  <c r="J913" i="2"/>
  <c r="I913" i="2"/>
  <c r="H913" i="2"/>
  <c r="E913" i="2"/>
  <c r="D913" i="2"/>
  <c r="C913" i="2"/>
  <c r="B913" i="2"/>
  <c r="A913" i="2"/>
  <c r="K912" i="2"/>
  <c r="J912" i="2"/>
  <c r="I912" i="2"/>
  <c r="H912" i="2"/>
  <c r="L912" i="2" s="1"/>
  <c r="E912" i="2"/>
  <c r="D912" i="2"/>
  <c r="C912" i="2"/>
  <c r="F912" i="2" s="1"/>
  <c r="B912" i="2"/>
  <c r="G912" i="2" s="1"/>
  <c r="A912" i="2"/>
  <c r="K911" i="2"/>
  <c r="J911" i="2"/>
  <c r="I911" i="2"/>
  <c r="H911" i="2"/>
  <c r="E911" i="2"/>
  <c r="D911" i="2"/>
  <c r="F911" i="2" s="1"/>
  <c r="G911" i="2" s="1"/>
  <c r="C911" i="2"/>
  <c r="B911" i="2"/>
  <c r="A911" i="2"/>
  <c r="L910" i="2"/>
  <c r="M910" i="2" s="1"/>
  <c r="K910" i="2"/>
  <c r="J910" i="2"/>
  <c r="I910" i="2"/>
  <c r="H910" i="2"/>
  <c r="E910" i="2"/>
  <c r="D910" i="2"/>
  <c r="C910" i="2"/>
  <c r="F910" i="2" s="1"/>
  <c r="B910" i="2"/>
  <c r="G910" i="2" s="1"/>
  <c r="A910" i="2"/>
  <c r="K909" i="2"/>
  <c r="J909" i="2"/>
  <c r="L909" i="2" s="1"/>
  <c r="I909" i="2"/>
  <c r="H909" i="2"/>
  <c r="G909" i="2"/>
  <c r="M909" i="2" s="1"/>
  <c r="F909" i="2"/>
  <c r="E909" i="2"/>
  <c r="D909" i="2"/>
  <c r="C909" i="2"/>
  <c r="B909" i="2"/>
  <c r="A909" i="2"/>
  <c r="K908" i="2"/>
  <c r="J908" i="2"/>
  <c r="I908" i="2"/>
  <c r="H908" i="2"/>
  <c r="L908" i="2" s="1"/>
  <c r="G908" i="2"/>
  <c r="F908" i="2"/>
  <c r="E908" i="2"/>
  <c r="D908" i="2"/>
  <c r="C908" i="2"/>
  <c r="B908" i="2"/>
  <c r="A908" i="2"/>
  <c r="K907" i="2"/>
  <c r="J907" i="2"/>
  <c r="L907" i="2" s="1"/>
  <c r="I907" i="2"/>
  <c r="H907" i="2"/>
  <c r="F907" i="2"/>
  <c r="E907" i="2"/>
  <c r="D907" i="2"/>
  <c r="C907" i="2"/>
  <c r="B907" i="2"/>
  <c r="G907" i="2" s="1"/>
  <c r="A907" i="2"/>
  <c r="L906" i="2"/>
  <c r="K906" i="2"/>
  <c r="J906" i="2"/>
  <c r="I906" i="2"/>
  <c r="H906" i="2"/>
  <c r="E906" i="2"/>
  <c r="D906" i="2"/>
  <c r="C906" i="2"/>
  <c r="B906" i="2"/>
  <c r="A906" i="2"/>
  <c r="K905" i="2"/>
  <c r="J905" i="2"/>
  <c r="I905" i="2"/>
  <c r="H905" i="2"/>
  <c r="L905" i="2" s="1"/>
  <c r="E905" i="2"/>
  <c r="D905" i="2"/>
  <c r="C905" i="2"/>
  <c r="B905" i="2"/>
  <c r="A905" i="2"/>
  <c r="K904" i="2"/>
  <c r="J904" i="2"/>
  <c r="I904" i="2"/>
  <c r="H904" i="2"/>
  <c r="L904" i="2" s="1"/>
  <c r="F904" i="2"/>
  <c r="G904" i="2" s="1"/>
  <c r="M904" i="2" s="1"/>
  <c r="E904" i="2"/>
  <c r="D904" i="2"/>
  <c r="C904" i="2"/>
  <c r="B904" i="2"/>
  <c r="A904" i="2"/>
  <c r="K903" i="2"/>
  <c r="J903" i="2"/>
  <c r="I903" i="2"/>
  <c r="L903" i="2" s="1"/>
  <c r="H903" i="2"/>
  <c r="E903" i="2"/>
  <c r="D903" i="2"/>
  <c r="C903" i="2"/>
  <c r="B903" i="2"/>
  <c r="A903" i="2"/>
  <c r="K902" i="2"/>
  <c r="L902" i="2" s="1"/>
  <c r="J902" i="2"/>
  <c r="I902" i="2"/>
  <c r="H902" i="2"/>
  <c r="E902" i="2"/>
  <c r="D902" i="2"/>
  <c r="C902" i="2"/>
  <c r="F902" i="2" s="1"/>
  <c r="B902" i="2"/>
  <c r="A902" i="2"/>
  <c r="K901" i="2"/>
  <c r="J901" i="2"/>
  <c r="I901" i="2"/>
  <c r="H901" i="2"/>
  <c r="E901" i="2"/>
  <c r="D901" i="2"/>
  <c r="F901" i="2" s="1"/>
  <c r="G901" i="2" s="1"/>
  <c r="C901" i="2"/>
  <c r="B901" i="2"/>
  <c r="A901" i="2"/>
  <c r="K900" i="2"/>
  <c r="J900" i="2"/>
  <c r="I900" i="2"/>
  <c r="H900" i="2"/>
  <c r="L900" i="2" s="1"/>
  <c r="E900" i="2"/>
  <c r="D900" i="2"/>
  <c r="C900" i="2"/>
  <c r="B900" i="2"/>
  <c r="A900" i="2"/>
  <c r="K899" i="2"/>
  <c r="J899" i="2"/>
  <c r="L899" i="2" s="1"/>
  <c r="I899" i="2"/>
  <c r="H899" i="2"/>
  <c r="F899" i="2"/>
  <c r="G899" i="2" s="1"/>
  <c r="M899" i="2" s="1"/>
  <c r="E899" i="2"/>
  <c r="D899" i="2"/>
  <c r="C899" i="2"/>
  <c r="B899" i="2"/>
  <c r="A899" i="2"/>
  <c r="K898" i="2"/>
  <c r="J898" i="2"/>
  <c r="I898" i="2"/>
  <c r="H898" i="2"/>
  <c r="E898" i="2"/>
  <c r="D898" i="2"/>
  <c r="C898" i="2"/>
  <c r="F898" i="2" s="1"/>
  <c r="G898" i="2" s="1"/>
  <c r="B898" i="2"/>
  <c r="A898" i="2"/>
  <c r="K897" i="2"/>
  <c r="L897" i="2" s="1"/>
  <c r="J897" i="2"/>
  <c r="I897" i="2"/>
  <c r="H897" i="2"/>
  <c r="F897" i="2"/>
  <c r="E897" i="2"/>
  <c r="D897" i="2"/>
  <c r="C897" i="2"/>
  <c r="B897" i="2"/>
  <c r="A897" i="2"/>
  <c r="K896" i="2"/>
  <c r="J896" i="2"/>
  <c r="I896" i="2"/>
  <c r="L896" i="2" s="1"/>
  <c r="H896" i="2"/>
  <c r="F896" i="2"/>
  <c r="E896" i="2"/>
  <c r="D896" i="2"/>
  <c r="C896" i="2"/>
  <c r="B896" i="2"/>
  <c r="A896" i="2"/>
  <c r="K895" i="2"/>
  <c r="J895" i="2"/>
  <c r="I895" i="2"/>
  <c r="H895" i="2"/>
  <c r="L895" i="2" s="1"/>
  <c r="G895" i="2"/>
  <c r="M895" i="2" s="1"/>
  <c r="F895" i="2"/>
  <c r="E895" i="2"/>
  <c r="D895" i="2"/>
  <c r="C895" i="2"/>
  <c r="B895" i="2"/>
  <c r="A895" i="2"/>
  <c r="K894" i="2"/>
  <c r="J894" i="2"/>
  <c r="I894" i="2"/>
  <c r="H894" i="2"/>
  <c r="L894" i="2" s="1"/>
  <c r="E894" i="2"/>
  <c r="F894" i="2" s="1"/>
  <c r="D894" i="2"/>
  <c r="C894" i="2"/>
  <c r="B894" i="2"/>
  <c r="A894" i="2"/>
  <c r="L893" i="2"/>
  <c r="K893" i="2"/>
  <c r="J893" i="2"/>
  <c r="I893" i="2"/>
  <c r="H893" i="2"/>
  <c r="E893" i="2"/>
  <c r="D893" i="2"/>
  <c r="C893" i="2"/>
  <c r="B893" i="2"/>
  <c r="A893" i="2"/>
  <c r="L892" i="2"/>
  <c r="K892" i="2"/>
  <c r="J892" i="2"/>
  <c r="I892" i="2"/>
  <c r="H892" i="2"/>
  <c r="E892" i="2"/>
  <c r="D892" i="2"/>
  <c r="C892" i="2"/>
  <c r="F892" i="2" s="1"/>
  <c r="B892" i="2"/>
  <c r="G892" i="2" s="1"/>
  <c r="M892" i="2" s="1"/>
  <c r="A892" i="2"/>
  <c r="K891" i="2"/>
  <c r="J891" i="2"/>
  <c r="I891" i="2"/>
  <c r="H891" i="2"/>
  <c r="L891" i="2" s="1"/>
  <c r="E891" i="2"/>
  <c r="D891" i="2"/>
  <c r="F891" i="2" s="1"/>
  <c r="G891" i="2" s="1"/>
  <c r="M891" i="2" s="1"/>
  <c r="C891" i="2"/>
  <c r="B891" i="2"/>
  <c r="A891" i="2"/>
  <c r="K890" i="2"/>
  <c r="J890" i="2"/>
  <c r="I890" i="2"/>
  <c r="H890" i="2"/>
  <c r="G890" i="2"/>
  <c r="E890" i="2"/>
  <c r="D890" i="2"/>
  <c r="C890" i="2"/>
  <c r="F890" i="2" s="1"/>
  <c r="B890" i="2"/>
  <c r="A890" i="2"/>
  <c r="K889" i="2"/>
  <c r="J889" i="2"/>
  <c r="I889" i="2"/>
  <c r="H889" i="2"/>
  <c r="E889" i="2"/>
  <c r="D889" i="2"/>
  <c r="C889" i="2"/>
  <c r="F889" i="2" s="1"/>
  <c r="B889" i="2"/>
  <c r="G889" i="2" s="1"/>
  <c r="A889" i="2"/>
  <c r="K888" i="2"/>
  <c r="J888" i="2"/>
  <c r="I888" i="2"/>
  <c r="H888" i="2"/>
  <c r="E888" i="2"/>
  <c r="D888" i="2"/>
  <c r="C888" i="2"/>
  <c r="F888" i="2" s="1"/>
  <c r="G888" i="2" s="1"/>
  <c r="B888" i="2"/>
  <c r="A888" i="2"/>
  <c r="K887" i="2"/>
  <c r="J887" i="2"/>
  <c r="I887" i="2"/>
  <c r="H887" i="2"/>
  <c r="L887" i="2" s="1"/>
  <c r="E887" i="2"/>
  <c r="D887" i="2"/>
  <c r="C887" i="2"/>
  <c r="F887" i="2" s="1"/>
  <c r="G887" i="2" s="1"/>
  <c r="M887" i="2" s="1"/>
  <c r="B887" i="2"/>
  <c r="A887" i="2"/>
  <c r="K886" i="2"/>
  <c r="J886" i="2"/>
  <c r="I886" i="2"/>
  <c r="H886" i="2"/>
  <c r="E886" i="2"/>
  <c r="F886" i="2" s="1"/>
  <c r="D886" i="2"/>
  <c r="C886" i="2"/>
  <c r="B886" i="2"/>
  <c r="A886" i="2"/>
  <c r="K885" i="2"/>
  <c r="J885" i="2"/>
  <c r="I885" i="2"/>
  <c r="H885" i="2"/>
  <c r="L885" i="2" s="1"/>
  <c r="E885" i="2"/>
  <c r="D885" i="2"/>
  <c r="C885" i="2"/>
  <c r="F885" i="2" s="1"/>
  <c r="B885" i="2"/>
  <c r="A885" i="2"/>
  <c r="K884" i="2"/>
  <c r="L884" i="2" s="1"/>
  <c r="J884" i="2"/>
  <c r="I884" i="2"/>
  <c r="H884" i="2"/>
  <c r="E884" i="2"/>
  <c r="F884" i="2" s="1"/>
  <c r="D884" i="2"/>
  <c r="C884" i="2"/>
  <c r="B884" i="2"/>
  <c r="G884" i="2" s="1"/>
  <c r="A884" i="2"/>
  <c r="K883" i="2"/>
  <c r="J883" i="2"/>
  <c r="I883" i="2"/>
  <c r="H883" i="2"/>
  <c r="L883" i="2" s="1"/>
  <c r="E883" i="2"/>
  <c r="D883" i="2"/>
  <c r="C883" i="2"/>
  <c r="F883" i="2" s="1"/>
  <c r="B883" i="2"/>
  <c r="A883" i="2"/>
  <c r="K882" i="2"/>
  <c r="J882" i="2"/>
  <c r="I882" i="2"/>
  <c r="H882" i="2"/>
  <c r="L882" i="2" s="1"/>
  <c r="E882" i="2"/>
  <c r="D882" i="2"/>
  <c r="F882" i="2" s="1"/>
  <c r="G882" i="2" s="1"/>
  <c r="M882" i="2" s="1"/>
  <c r="C882" i="2"/>
  <c r="B882" i="2"/>
  <c r="A882" i="2"/>
  <c r="K881" i="2"/>
  <c r="J881" i="2"/>
  <c r="I881" i="2"/>
  <c r="H881" i="2"/>
  <c r="E881" i="2"/>
  <c r="F881" i="2" s="1"/>
  <c r="G881" i="2" s="1"/>
  <c r="D881" i="2"/>
  <c r="C881" i="2"/>
  <c r="B881" i="2"/>
  <c r="A881" i="2"/>
  <c r="K880" i="2"/>
  <c r="J880" i="2"/>
  <c r="I880" i="2"/>
  <c r="H880" i="2"/>
  <c r="L880" i="2" s="1"/>
  <c r="E880" i="2"/>
  <c r="D880" i="2"/>
  <c r="C880" i="2"/>
  <c r="B880" i="2"/>
  <c r="A880" i="2"/>
  <c r="K879" i="2"/>
  <c r="J879" i="2"/>
  <c r="L879" i="2" s="1"/>
  <c r="I879" i="2"/>
  <c r="H879" i="2"/>
  <c r="E879" i="2"/>
  <c r="D879" i="2"/>
  <c r="C879" i="2"/>
  <c r="F879" i="2" s="1"/>
  <c r="B879" i="2"/>
  <c r="A879" i="2"/>
  <c r="K878" i="2"/>
  <c r="J878" i="2"/>
  <c r="I878" i="2"/>
  <c r="H878" i="2"/>
  <c r="E878" i="2"/>
  <c r="D878" i="2"/>
  <c r="C878" i="2"/>
  <c r="B878" i="2"/>
  <c r="A878" i="2"/>
  <c r="K877" i="2"/>
  <c r="J877" i="2"/>
  <c r="I877" i="2"/>
  <c r="H877" i="2"/>
  <c r="L877" i="2" s="1"/>
  <c r="F877" i="2"/>
  <c r="G877" i="2" s="1"/>
  <c r="E877" i="2"/>
  <c r="D877" i="2"/>
  <c r="C877" i="2"/>
  <c r="B877" i="2"/>
  <c r="A877" i="2"/>
  <c r="K876" i="2"/>
  <c r="J876" i="2"/>
  <c r="I876" i="2"/>
  <c r="H876" i="2"/>
  <c r="E876" i="2"/>
  <c r="D876" i="2"/>
  <c r="C876" i="2"/>
  <c r="F876" i="2" s="1"/>
  <c r="B876" i="2"/>
  <c r="A876" i="2"/>
  <c r="L875" i="2"/>
  <c r="K875" i="2"/>
  <c r="J875" i="2"/>
  <c r="I875" i="2"/>
  <c r="H875" i="2"/>
  <c r="E875" i="2"/>
  <c r="D875" i="2"/>
  <c r="C875" i="2"/>
  <c r="B875" i="2"/>
  <c r="A875" i="2"/>
  <c r="L874" i="2"/>
  <c r="K874" i="2"/>
  <c r="J874" i="2"/>
  <c r="I874" i="2"/>
  <c r="H874" i="2"/>
  <c r="G874" i="2"/>
  <c r="M874" i="2" s="1"/>
  <c r="E874" i="2"/>
  <c r="F874" i="2" s="1"/>
  <c r="D874" i="2"/>
  <c r="C874" i="2"/>
  <c r="B874" i="2"/>
  <c r="A874" i="2"/>
  <c r="K873" i="2"/>
  <c r="J873" i="2"/>
  <c r="I873" i="2"/>
  <c r="H873" i="2"/>
  <c r="L873" i="2" s="1"/>
  <c r="E873" i="2"/>
  <c r="D873" i="2"/>
  <c r="C873" i="2"/>
  <c r="B873" i="2"/>
  <c r="A873" i="2"/>
  <c r="K872" i="2"/>
  <c r="J872" i="2"/>
  <c r="I872" i="2"/>
  <c r="H872" i="2"/>
  <c r="L872" i="2" s="1"/>
  <c r="G872" i="2"/>
  <c r="M872" i="2" s="1"/>
  <c r="F872" i="2"/>
  <c r="E872" i="2"/>
  <c r="D872" i="2"/>
  <c r="C872" i="2"/>
  <c r="B872" i="2"/>
  <c r="A872" i="2"/>
  <c r="K871" i="2"/>
  <c r="J871" i="2"/>
  <c r="I871" i="2"/>
  <c r="H871" i="2"/>
  <c r="L871" i="2" s="1"/>
  <c r="G871" i="2"/>
  <c r="E871" i="2"/>
  <c r="D871" i="2"/>
  <c r="F871" i="2" s="1"/>
  <c r="C871" i="2"/>
  <c r="B871" i="2"/>
  <c r="A871" i="2"/>
  <c r="K870" i="2"/>
  <c r="J870" i="2"/>
  <c r="L870" i="2" s="1"/>
  <c r="I870" i="2"/>
  <c r="H870" i="2"/>
  <c r="E870" i="2"/>
  <c r="D870" i="2"/>
  <c r="C870" i="2"/>
  <c r="B870" i="2"/>
  <c r="A870" i="2"/>
  <c r="L869" i="2"/>
  <c r="K869" i="2"/>
  <c r="J869" i="2"/>
  <c r="I869" i="2"/>
  <c r="H869" i="2"/>
  <c r="E869" i="2"/>
  <c r="D869" i="2"/>
  <c r="C869" i="2"/>
  <c r="F869" i="2" s="1"/>
  <c r="B869" i="2"/>
  <c r="G869" i="2" s="1"/>
  <c r="M869" i="2" s="1"/>
  <c r="A869" i="2"/>
  <c r="K868" i="2"/>
  <c r="J868" i="2"/>
  <c r="I868" i="2"/>
  <c r="H868" i="2"/>
  <c r="E868" i="2"/>
  <c r="D868" i="2"/>
  <c r="F868" i="2" s="1"/>
  <c r="G868" i="2" s="1"/>
  <c r="C868" i="2"/>
  <c r="B868" i="2"/>
  <c r="A868" i="2"/>
  <c r="L867" i="2"/>
  <c r="K867" i="2"/>
  <c r="J867" i="2"/>
  <c r="I867" i="2"/>
  <c r="H867" i="2"/>
  <c r="E867" i="2"/>
  <c r="D867" i="2"/>
  <c r="C867" i="2"/>
  <c r="F867" i="2" s="1"/>
  <c r="B867" i="2"/>
  <c r="G867" i="2" s="1"/>
  <c r="M867" i="2" s="1"/>
  <c r="A867" i="2"/>
  <c r="K866" i="2"/>
  <c r="J866" i="2"/>
  <c r="L866" i="2" s="1"/>
  <c r="I866" i="2"/>
  <c r="H866" i="2"/>
  <c r="E866" i="2"/>
  <c r="D866" i="2"/>
  <c r="F866" i="2" s="1"/>
  <c r="C866" i="2"/>
  <c r="B866" i="2"/>
  <c r="G866" i="2" s="1"/>
  <c r="M866" i="2" s="1"/>
  <c r="A866" i="2"/>
  <c r="L865" i="2"/>
  <c r="K865" i="2"/>
  <c r="J865" i="2"/>
  <c r="I865" i="2"/>
  <c r="H865" i="2"/>
  <c r="E865" i="2"/>
  <c r="D865" i="2"/>
  <c r="C865" i="2"/>
  <c r="B865" i="2"/>
  <c r="A865" i="2"/>
  <c r="K864" i="2"/>
  <c r="J864" i="2"/>
  <c r="I864" i="2"/>
  <c r="H864" i="2"/>
  <c r="E864" i="2"/>
  <c r="F864" i="2" s="1"/>
  <c r="G864" i="2" s="1"/>
  <c r="D864" i="2"/>
  <c r="C864" i="2"/>
  <c r="B864" i="2"/>
  <c r="A864" i="2"/>
  <c r="K863" i="2"/>
  <c r="J863" i="2"/>
  <c r="I863" i="2"/>
  <c r="H863" i="2"/>
  <c r="L863" i="2" s="1"/>
  <c r="E863" i="2"/>
  <c r="D863" i="2"/>
  <c r="C863" i="2"/>
  <c r="B863" i="2"/>
  <c r="A863" i="2"/>
  <c r="K862" i="2"/>
  <c r="J862" i="2"/>
  <c r="I862" i="2"/>
  <c r="H862" i="2"/>
  <c r="E862" i="2"/>
  <c r="D862" i="2"/>
  <c r="C862" i="2"/>
  <c r="F862" i="2" s="1"/>
  <c r="B862" i="2"/>
  <c r="G862" i="2" s="1"/>
  <c r="A862" i="2"/>
  <c r="K861" i="2"/>
  <c r="J861" i="2"/>
  <c r="I861" i="2"/>
  <c r="H861" i="2"/>
  <c r="E861" i="2"/>
  <c r="D861" i="2"/>
  <c r="F861" i="2" s="1"/>
  <c r="G861" i="2" s="1"/>
  <c r="C861" i="2"/>
  <c r="B861" i="2"/>
  <c r="A861" i="2"/>
  <c r="L860" i="2"/>
  <c r="K860" i="2"/>
  <c r="J860" i="2"/>
  <c r="I860" i="2"/>
  <c r="H860" i="2"/>
  <c r="G860" i="2"/>
  <c r="M860" i="2" s="1"/>
  <c r="E860" i="2"/>
  <c r="D860" i="2"/>
  <c r="C860" i="2"/>
  <c r="F860" i="2" s="1"/>
  <c r="B860" i="2"/>
  <c r="A860" i="2"/>
  <c r="K859" i="2"/>
  <c r="J859" i="2"/>
  <c r="L859" i="2" s="1"/>
  <c r="I859" i="2"/>
  <c r="H859" i="2"/>
  <c r="G859" i="2"/>
  <c r="M859" i="2" s="1"/>
  <c r="F859" i="2"/>
  <c r="E859" i="2"/>
  <c r="D859" i="2"/>
  <c r="C859" i="2"/>
  <c r="B859" i="2"/>
  <c r="A859" i="2"/>
  <c r="K858" i="2"/>
  <c r="J858" i="2"/>
  <c r="I858" i="2"/>
  <c r="H858" i="2"/>
  <c r="G858" i="2"/>
  <c r="F858" i="2"/>
  <c r="E858" i="2"/>
  <c r="D858" i="2"/>
  <c r="C858" i="2"/>
  <c r="B858" i="2"/>
  <c r="A858" i="2"/>
  <c r="K857" i="2"/>
  <c r="J857" i="2"/>
  <c r="I857" i="2"/>
  <c r="H857" i="2"/>
  <c r="F857" i="2"/>
  <c r="E857" i="2"/>
  <c r="D857" i="2"/>
  <c r="C857" i="2"/>
  <c r="B857" i="2"/>
  <c r="G857" i="2" s="1"/>
  <c r="A857" i="2"/>
  <c r="L856" i="2"/>
  <c r="K856" i="2"/>
  <c r="J856" i="2"/>
  <c r="I856" i="2"/>
  <c r="H856" i="2"/>
  <c r="E856" i="2"/>
  <c r="D856" i="2"/>
  <c r="C856" i="2"/>
  <c r="F856" i="2" s="1"/>
  <c r="B856" i="2"/>
  <c r="A856" i="2"/>
  <c r="K855" i="2"/>
  <c r="J855" i="2"/>
  <c r="I855" i="2"/>
  <c r="H855" i="2"/>
  <c r="L855" i="2" s="1"/>
  <c r="F855" i="2"/>
  <c r="G855" i="2" s="1"/>
  <c r="M855" i="2" s="1"/>
  <c r="E855" i="2"/>
  <c r="D855" i="2"/>
  <c r="C855" i="2"/>
  <c r="B855" i="2"/>
  <c r="A855" i="2"/>
  <c r="K854" i="2"/>
  <c r="J854" i="2"/>
  <c r="I854" i="2"/>
  <c r="H854" i="2"/>
  <c r="L854" i="2" s="1"/>
  <c r="G854" i="2"/>
  <c r="M854" i="2" s="1"/>
  <c r="F854" i="2"/>
  <c r="E854" i="2"/>
  <c r="D854" i="2"/>
  <c r="C854" i="2"/>
  <c r="B854" i="2"/>
  <c r="A854" i="2"/>
  <c r="K853" i="2"/>
  <c r="J853" i="2"/>
  <c r="I853" i="2"/>
  <c r="L853" i="2" s="1"/>
  <c r="H853" i="2"/>
  <c r="E853" i="2"/>
  <c r="D853" i="2"/>
  <c r="C853" i="2"/>
  <c r="B853" i="2"/>
  <c r="A853" i="2"/>
  <c r="K852" i="2"/>
  <c r="L852" i="2" s="1"/>
  <c r="J852" i="2"/>
  <c r="I852" i="2"/>
  <c r="H852" i="2"/>
  <c r="E852" i="2"/>
  <c r="D852" i="2"/>
  <c r="C852" i="2"/>
  <c r="B852" i="2"/>
  <c r="A852" i="2"/>
  <c r="K851" i="2"/>
  <c r="J851" i="2"/>
  <c r="I851" i="2"/>
  <c r="H851" i="2"/>
  <c r="E851" i="2"/>
  <c r="D851" i="2"/>
  <c r="F851" i="2" s="1"/>
  <c r="G851" i="2" s="1"/>
  <c r="C851" i="2"/>
  <c r="B851" i="2"/>
  <c r="A851" i="2"/>
  <c r="K850" i="2"/>
  <c r="J850" i="2"/>
  <c r="I850" i="2"/>
  <c r="H850" i="2"/>
  <c r="E850" i="2"/>
  <c r="D850" i="2"/>
  <c r="C850" i="2"/>
  <c r="B850" i="2"/>
  <c r="A850" i="2"/>
  <c r="K849" i="2"/>
  <c r="J849" i="2"/>
  <c r="L849" i="2" s="1"/>
  <c r="I849" i="2"/>
  <c r="H849" i="2"/>
  <c r="F849" i="2"/>
  <c r="G849" i="2" s="1"/>
  <c r="M849" i="2" s="1"/>
  <c r="E849" i="2"/>
  <c r="D849" i="2"/>
  <c r="C849" i="2"/>
  <c r="B849" i="2"/>
  <c r="A849" i="2"/>
  <c r="K848" i="2"/>
  <c r="J848" i="2"/>
  <c r="I848" i="2"/>
  <c r="H848" i="2"/>
  <c r="E848" i="2"/>
  <c r="D848" i="2"/>
  <c r="C848" i="2"/>
  <c r="F848" i="2" s="1"/>
  <c r="G848" i="2" s="1"/>
  <c r="B848" i="2"/>
  <c r="A848" i="2"/>
  <c r="K847" i="2"/>
  <c r="L847" i="2" s="1"/>
  <c r="J847" i="2"/>
  <c r="I847" i="2"/>
  <c r="H847" i="2"/>
  <c r="F847" i="2"/>
  <c r="E847" i="2"/>
  <c r="D847" i="2"/>
  <c r="C847" i="2"/>
  <c r="B847" i="2"/>
  <c r="A847" i="2"/>
  <c r="K846" i="2"/>
  <c r="J846" i="2"/>
  <c r="I846" i="2"/>
  <c r="L846" i="2" s="1"/>
  <c r="H846" i="2"/>
  <c r="F846" i="2"/>
  <c r="E846" i="2"/>
  <c r="D846" i="2"/>
  <c r="C846" i="2"/>
  <c r="B846" i="2"/>
  <c r="A846" i="2"/>
  <c r="K845" i="2"/>
  <c r="J845" i="2"/>
  <c r="I845" i="2"/>
  <c r="H845" i="2"/>
  <c r="L845" i="2" s="1"/>
  <c r="G845" i="2"/>
  <c r="F845" i="2"/>
  <c r="E845" i="2"/>
  <c r="D845" i="2"/>
  <c r="C845" i="2"/>
  <c r="B845" i="2"/>
  <c r="A845" i="2"/>
  <c r="K844" i="2"/>
  <c r="J844" i="2"/>
  <c r="I844" i="2"/>
  <c r="H844" i="2"/>
  <c r="E844" i="2"/>
  <c r="F844" i="2" s="1"/>
  <c r="D844" i="2"/>
  <c r="C844" i="2"/>
  <c r="B844" i="2"/>
  <c r="G844" i="2" s="1"/>
  <c r="A844" i="2"/>
  <c r="K843" i="2"/>
  <c r="L843" i="2" s="1"/>
  <c r="J843" i="2"/>
  <c r="I843" i="2"/>
  <c r="H843" i="2"/>
  <c r="E843" i="2"/>
  <c r="D843" i="2"/>
  <c r="C843" i="2"/>
  <c r="B843" i="2"/>
  <c r="A843" i="2"/>
  <c r="L842" i="2"/>
  <c r="K842" i="2"/>
  <c r="J842" i="2"/>
  <c r="I842" i="2"/>
  <c r="H842" i="2"/>
  <c r="E842" i="2"/>
  <c r="D842" i="2"/>
  <c r="C842" i="2"/>
  <c r="F842" i="2" s="1"/>
  <c r="B842" i="2"/>
  <c r="G842" i="2" s="1"/>
  <c r="M842" i="2" s="1"/>
  <c r="A842" i="2"/>
  <c r="K841" i="2"/>
  <c r="J841" i="2"/>
  <c r="I841" i="2"/>
  <c r="H841" i="2"/>
  <c r="L841" i="2" s="1"/>
  <c r="E841" i="2"/>
  <c r="D841" i="2"/>
  <c r="F841" i="2" s="1"/>
  <c r="G841" i="2" s="1"/>
  <c r="M841" i="2" s="1"/>
  <c r="C841" i="2"/>
  <c r="B841" i="2"/>
  <c r="A841" i="2"/>
  <c r="K840" i="2"/>
  <c r="J840" i="2"/>
  <c r="I840" i="2"/>
  <c r="H840" i="2"/>
  <c r="G840" i="2"/>
  <c r="E840" i="2"/>
  <c r="D840" i="2"/>
  <c r="C840" i="2"/>
  <c r="F840" i="2" s="1"/>
  <c r="B840" i="2"/>
  <c r="A840" i="2"/>
  <c r="K839" i="2"/>
  <c r="J839" i="2"/>
  <c r="I839" i="2"/>
  <c r="H839" i="2"/>
  <c r="E839" i="2"/>
  <c r="D839" i="2"/>
  <c r="C839" i="2"/>
  <c r="F839" i="2" s="1"/>
  <c r="B839" i="2"/>
  <c r="A839" i="2"/>
  <c r="K838" i="2"/>
  <c r="J838" i="2"/>
  <c r="I838" i="2"/>
  <c r="H838" i="2"/>
  <c r="E838" i="2"/>
  <c r="D838" i="2"/>
  <c r="C838" i="2"/>
  <c r="F838" i="2" s="1"/>
  <c r="G838" i="2" s="1"/>
  <c r="B838" i="2"/>
  <c r="A838" i="2"/>
  <c r="M837" i="2"/>
  <c r="K837" i="2"/>
  <c r="J837" i="2"/>
  <c r="I837" i="2"/>
  <c r="H837" i="2"/>
  <c r="L837" i="2" s="1"/>
  <c r="E837" i="2"/>
  <c r="D837" i="2"/>
  <c r="C837" i="2"/>
  <c r="F837" i="2" s="1"/>
  <c r="G837" i="2" s="1"/>
  <c r="B837" i="2"/>
  <c r="A837" i="2"/>
  <c r="K836" i="2"/>
  <c r="J836" i="2"/>
  <c r="I836" i="2"/>
  <c r="H836" i="2"/>
  <c r="E836" i="2"/>
  <c r="F836" i="2" s="1"/>
  <c r="D836" i="2"/>
  <c r="C836" i="2"/>
  <c r="B836" i="2"/>
  <c r="A836" i="2"/>
  <c r="M835" i="2"/>
  <c r="K835" i="2"/>
  <c r="J835" i="2"/>
  <c r="I835" i="2"/>
  <c r="H835" i="2"/>
  <c r="L835" i="2" s="1"/>
  <c r="E835" i="2"/>
  <c r="D835" i="2"/>
  <c r="C835" i="2"/>
  <c r="F835" i="2" s="1"/>
  <c r="B835" i="2"/>
  <c r="G835" i="2" s="1"/>
  <c r="A835" i="2"/>
  <c r="L834" i="2"/>
  <c r="K834" i="2"/>
  <c r="J834" i="2"/>
  <c r="I834" i="2"/>
  <c r="H834" i="2"/>
  <c r="E834" i="2"/>
  <c r="F834" i="2" s="1"/>
  <c r="D834" i="2"/>
  <c r="C834" i="2"/>
  <c r="B834" i="2"/>
  <c r="G834" i="2" s="1"/>
  <c r="A834" i="2"/>
  <c r="K833" i="2"/>
  <c r="J833" i="2"/>
  <c r="I833" i="2"/>
  <c r="H833" i="2"/>
  <c r="L833" i="2" s="1"/>
  <c r="E833" i="2"/>
  <c r="D833" i="2"/>
  <c r="C833" i="2"/>
  <c r="B833" i="2"/>
  <c r="A833" i="2"/>
  <c r="K832" i="2"/>
  <c r="J832" i="2"/>
  <c r="I832" i="2"/>
  <c r="H832" i="2"/>
  <c r="L832" i="2" s="1"/>
  <c r="E832" i="2"/>
  <c r="F832" i="2" s="1"/>
  <c r="G832" i="2" s="1"/>
  <c r="M832" i="2" s="1"/>
  <c r="D832" i="2"/>
  <c r="C832" i="2"/>
  <c r="B832" i="2"/>
  <c r="A832" i="2"/>
  <c r="K831" i="2"/>
  <c r="J831" i="2"/>
  <c r="I831" i="2"/>
  <c r="H831" i="2"/>
  <c r="L831" i="2" s="1"/>
  <c r="F831" i="2"/>
  <c r="G831" i="2" s="1"/>
  <c r="M831" i="2" s="1"/>
  <c r="E831" i="2"/>
  <c r="D831" i="2"/>
  <c r="C831" i="2"/>
  <c r="B831" i="2"/>
  <c r="A831" i="2"/>
  <c r="K830" i="2"/>
  <c r="J830" i="2"/>
  <c r="I830" i="2"/>
  <c r="L830" i="2" s="1"/>
  <c r="H830" i="2"/>
  <c r="E830" i="2"/>
  <c r="D830" i="2"/>
  <c r="F830" i="2" s="1"/>
  <c r="C830" i="2"/>
  <c r="B830" i="2"/>
  <c r="G830" i="2" s="1"/>
  <c r="M830" i="2" s="1"/>
  <c r="A830" i="2"/>
  <c r="L829" i="2"/>
  <c r="K829" i="2"/>
  <c r="J829" i="2"/>
  <c r="I829" i="2"/>
  <c r="H829" i="2"/>
  <c r="E829" i="2"/>
  <c r="D829" i="2"/>
  <c r="C829" i="2"/>
  <c r="B829" i="2"/>
  <c r="A829" i="2"/>
  <c r="K828" i="2"/>
  <c r="J828" i="2"/>
  <c r="I828" i="2"/>
  <c r="H828" i="2"/>
  <c r="E828" i="2"/>
  <c r="F828" i="2" s="1"/>
  <c r="G828" i="2" s="1"/>
  <c r="D828" i="2"/>
  <c r="C828" i="2"/>
  <c r="B828" i="2"/>
  <c r="A828" i="2"/>
  <c r="K827" i="2"/>
  <c r="J827" i="2"/>
  <c r="I827" i="2"/>
  <c r="H827" i="2"/>
  <c r="L827" i="2" s="1"/>
  <c r="M827" i="2" s="1"/>
  <c r="E827" i="2"/>
  <c r="D827" i="2"/>
  <c r="C827" i="2"/>
  <c r="F827" i="2" s="1"/>
  <c r="B827" i="2"/>
  <c r="G827" i="2" s="1"/>
  <c r="A827" i="2"/>
  <c r="L826" i="2"/>
  <c r="K826" i="2"/>
  <c r="J826" i="2"/>
  <c r="I826" i="2"/>
  <c r="H826" i="2"/>
  <c r="E826" i="2"/>
  <c r="D826" i="2"/>
  <c r="C826" i="2"/>
  <c r="B826" i="2"/>
  <c r="A826" i="2"/>
  <c r="K825" i="2"/>
  <c r="J825" i="2"/>
  <c r="I825" i="2"/>
  <c r="H825" i="2"/>
  <c r="L825" i="2" s="1"/>
  <c r="E825" i="2"/>
  <c r="D825" i="2"/>
  <c r="C825" i="2"/>
  <c r="F825" i="2" s="1"/>
  <c r="G825" i="2" s="1"/>
  <c r="M825" i="2" s="1"/>
  <c r="B825" i="2"/>
  <c r="A825" i="2"/>
  <c r="K824" i="2"/>
  <c r="J824" i="2"/>
  <c r="I824" i="2"/>
  <c r="H824" i="2"/>
  <c r="L824" i="2" s="1"/>
  <c r="E824" i="2"/>
  <c r="F824" i="2" s="1"/>
  <c r="G824" i="2" s="1"/>
  <c r="D824" i="2"/>
  <c r="C824" i="2"/>
  <c r="B824" i="2"/>
  <c r="A824" i="2"/>
  <c r="K823" i="2"/>
  <c r="J823" i="2"/>
  <c r="I823" i="2"/>
  <c r="H823" i="2"/>
  <c r="E823" i="2"/>
  <c r="D823" i="2"/>
  <c r="C823" i="2"/>
  <c r="B823" i="2"/>
  <c r="A823" i="2"/>
  <c r="L822" i="2"/>
  <c r="K822" i="2"/>
  <c r="J822" i="2"/>
  <c r="I822" i="2"/>
  <c r="H822" i="2"/>
  <c r="E822" i="2"/>
  <c r="D822" i="2"/>
  <c r="C822" i="2"/>
  <c r="F822" i="2" s="1"/>
  <c r="B822" i="2"/>
  <c r="A822" i="2"/>
  <c r="K821" i="2"/>
  <c r="J821" i="2"/>
  <c r="I821" i="2"/>
  <c r="H821" i="2"/>
  <c r="E821" i="2"/>
  <c r="D821" i="2"/>
  <c r="C821" i="2"/>
  <c r="B821" i="2"/>
  <c r="A821" i="2"/>
  <c r="L820" i="2"/>
  <c r="K820" i="2"/>
  <c r="J820" i="2"/>
  <c r="I820" i="2"/>
  <c r="H820" i="2"/>
  <c r="F820" i="2"/>
  <c r="E820" i="2"/>
  <c r="D820" i="2"/>
  <c r="C820" i="2"/>
  <c r="B820" i="2"/>
  <c r="G820" i="2" s="1"/>
  <c r="M820" i="2" s="1"/>
  <c r="A820" i="2"/>
  <c r="K819" i="2"/>
  <c r="J819" i="2"/>
  <c r="I819" i="2"/>
  <c r="L819" i="2" s="1"/>
  <c r="H819" i="2"/>
  <c r="E819" i="2"/>
  <c r="D819" i="2"/>
  <c r="C819" i="2"/>
  <c r="F819" i="2" s="1"/>
  <c r="B819" i="2"/>
  <c r="G819" i="2" s="1"/>
  <c r="M819" i="2" s="1"/>
  <c r="A819" i="2"/>
  <c r="K818" i="2"/>
  <c r="J818" i="2"/>
  <c r="I818" i="2"/>
  <c r="H818" i="2"/>
  <c r="L818" i="2" s="1"/>
  <c r="E818" i="2"/>
  <c r="D818" i="2"/>
  <c r="F818" i="2" s="1"/>
  <c r="C818" i="2"/>
  <c r="B818" i="2"/>
  <c r="A818" i="2"/>
  <c r="K817" i="2"/>
  <c r="J817" i="2"/>
  <c r="I817" i="2"/>
  <c r="H817" i="2"/>
  <c r="E817" i="2"/>
  <c r="F817" i="2" s="1"/>
  <c r="G817" i="2" s="1"/>
  <c r="D817" i="2"/>
  <c r="C817" i="2"/>
  <c r="B817" i="2"/>
  <c r="A817" i="2"/>
  <c r="K816" i="2"/>
  <c r="J816" i="2"/>
  <c r="I816" i="2"/>
  <c r="H816" i="2"/>
  <c r="L816" i="2" s="1"/>
  <c r="G816" i="2"/>
  <c r="E816" i="2"/>
  <c r="D816" i="2"/>
  <c r="C816" i="2"/>
  <c r="F816" i="2" s="1"/>
  <c r="B816" i="2"/>
  <c r="A816" i="2"/>
  <c r="M815" i="2"/>
  <c r="K815" i="2"/>
  <c r="J815" i="2"/>
  <c r="L815" i="2" s="1"/>
  <c r="I815" i="2"/>
  <c r="H815" i="2"/>
  <c r="E815" i="2"/>
  <c r="D815" i="2"/>
  <c r="C815" i="2"/>
  <c r="F815" i="2" s="1"/>
  <c r="B815" i="2"/>
  <c r="G815" i="2" s="1"/>
  <c r="A815" i="2"/>
  <c r="K814" i="2"/>
  <c r="J814" i="2"/>
  <c r="I814" i="2"/>
  <c r="H814" i="2"/>
  <c r="E814" i="2"/>
  <c r="D814" i="2"/>
  <c r="C814" i="2"/>
  <c r="F814" i="2" s="1"/>
  <c r="G814" i="2" s="1"/>
  <c r="B814" i="2"/>
  <c r="A814" i="2"/>
  <c r="K813" i="2"/>
  <c r="J813" i="2"/>
  <c r="I813" i="2"/>
  <c r="H813" i="2"/>
  <c r="F813" i="2"/>
  <c r="G813" i="2" s="1"/>
  <c r="E813" i="2"/>
  <c r="D813" i="2"/>
  <c r="C813" i="2"/>
  <c r="B813" i="2"/>
  <c r="A813" i="2"/>
  <c r="K812" i="2"/>
  <c r="J812" i="2"/>
  <c r="I812" i="2"/>
  <c r="L812" i="2" s="1"/>
  <c r="H812" i="2"/>
  <c r="F812" i="2"/>
  <c r="E812" i="2"/>
  <c r="D812" i="2"/>
  <c r="C812" i="2"/>
  <c r="B812" i="2"/>
  <c r="G812" i="2" s="1"/>
  <c r="A812" i="2"/>
  <c r="K811" i="2"/>
  <c r="J811" i="2"/>
  <c r="I811" i="2"/>
  <c r="L811" i="2" s="1"/>
  <c r="H811" i="2"/>
  <c r="E811" i="2"/>
  <c r="D811" i="2"/>
  <c r="C811" i="2"/>
  <c r="B811" i="2"/>
  <c r="A811" i="2"/>
  <c r="K810" i="2"/>
  <c r="J810" i="2"/>
  <c r="I810" i="2"/>
  <c r="H810" i="2"/>
  <c r="G810" i="2"/>
  <c r="F810" i="2"/>
  <c r="E810" i="2"/>
  <c r="D810" i="2"/>
  <c r="C810" i="2"/>
  <c r="B810" i="2"/>
  <c r="A810" i="2"/>
  <c r="K809" i="2"/>
  <c r="J809" i="2"/>
  <c r="I809" i="2"/>
  <c r="H809" i="2"/>
  <c r="E809" i="2"/>
  <c r="D809" i="2"/>
  <c r="C809" i="2"/>
  <c r="F809" i="2" s="1"/>
  <c r="B809" i="2"/>
  <c r="G809" i="2" s="1"/>
  <c r="A809" i="2"/>
  <c r="M808" i="2"/>
  <c r="K808" i="2"/>
  <c r="L808" i="2" s="1"/>
  <c r="J808" i="2"/>
  <c r="I808" i="2"/>
  <c r="H808" i="2"/>
  <c r="E808" i="2"/>
  <c r="D808" i="2"/>
  <c r="C808" i="2"/>
  <c r="F808" i="2" s="1"/>
  <c r="B808" i="2"/>
  <c r="G808" i="2" s="1"/>
  <c r="A808" i="2"/>
  <c r="K807" i="2"/>
  <c r="J807" i="2"/>
  <c r="I807" i="2"/>
  <c r="H807" i="2"/>
  <c r="E807" i="2"/>
  <c r="D807" i="2"/>
  <c r="F807" i="2" s="1"/>
  <c r="G807" i="2" s="1"/>
  <c r="C807" i="2"/>
  <c r="B807" i="2"/>
  <c r="A807" i="2"/>
  <c r="L806" i="2"/>
  <c r="K806" i="2"/>
  <c r="J806" i="2"/>
  <c r="I806" i="2"/>
  <c r="H806" i="2"/>
  <c r="E806" i="2"/>
  <c r="D806" i="2"/>
  <c r="C806" i="2"/>
  <c r="B806" i="2"/>
  <c r="A806" i="2"/>
  <c r="M805" i="2"/>
  <c r="L805" i="2"/>
  <c r="K805" i="2"/>
  <c r="J805" i="2"/>
  <c r="I805" i="2"/>
  <c r="H805" i="2"/>
  <c r="E805" i="2"/>
  <c r="D805" i="2"/>
  <c r="C805" i="2"/>
  <c r="F805" i="2" s="1"/>
  <c r="B805" i="2"/>
  <c r="G805" i="2" s="1"/>
  <c r="A805" i="2"/>
  <c r="K804" i="2"/>
  <c r="J804" i="2"/>
  <c r="I804" i="2"/>
  <c r="H804" i="2"/>
  <c r="L804" i="2" s="1"/>
  <c r="E804" i="2"/>
  <c r="D804" i="2"/>
  <c r="C804" i="2"/>
  <c r="B804" i="2"/>
  <c r="A804" i="2"/>
  <c r="K803" i="2"/>
  <c r="J803" i="2"/>
  <c r="I803" i="2"/>
  <c r="H803" i="2"/>
  <c r="F803" i="2"/>
  <c r="G803" i="2" s="1"/>
  <c r="E803" i="2"/>
  <c r="D803" i="2"/>
  <c r="C803" i="2"/>
  <c r="B803" i="2"/>
  <c r="A803" i="2"/>
  <c r="L802" i="2"/>
  <c r="K802" i="2"/>
  <c r="J802" i="2"/>
  <c r="I802" i="2"/>
  <c r="H802" i="2"/>
  <c r="E802" i="2"/>
  <c r="D802" i="2"/>
  <c r="C802" i="2"/>
  <c r="F802" i="2" s="1"/>
  <c r="B802" i="2"/>
  <c r="A802" i="2"/>
  <c r="L801" i="2"/>
  <c r="K801" i="2"/>
  <c r="J801" i="2"/>
  <c r="I801" i="2"/>
  <c r="H801" i="2"/>
  <c r="E801" i="2"/>
  <c r="D801" i="2"/>
  <c r="C801" i="2"/>
  <c r="B801" i="2"/>
  <c r="A801" i="2"/>
  <c r="L800" i="2"/>
  <c r="K800" i="2"/>
  <c r="J800" i="2"/>
  <c r="I800" i="2"/>
  <c r="H800" i="2"/>
  <c r="F800" i="2"/>
  <c r="E800" i="2"/>
  <c r="D800" i="2"/>
  <c r="C800" i="2"/>
  <c r="B800" i="2"/>
  <c r="G800" i="2" s="1"/>
  <c r="M800" i="2" s="1"/>
  <c r="A800" i="2"/>
  <c r="K799" i="2"/>
  <c r="J799" i="2"/>
  <c r="I799" i="2"/>
  <c r="H799" i="2"/>
  <c r="E799" i="2"/>
  <c r="D799" i="2"/>
  <c r="C799" i="2"/>
  <c r="B799" i="2"/>
  <c r="A799" i="2"/>
  <c r="K798" i="2"/>
  <c r="J798" i="2"/>
  <c r="I798" i="2"/>
  <c r="H798" i="2"/>
  <c r="L798" i="2" s="1"/>
  <c r="F798" i="2"/>
  <c r="G798" i="2" s="1"/>
  <c r="M798" i="2" s="1"/>
  <c r="E798" i="2"/>
  <c r="D798" i="2"/>
  <c r="C798" i="2"/>
  <c r="B798" i="2"/>
  <c r="A798" i="2"/>
  <c r="K797" i="2"/>
  <c r="J797" i="2"/>
  <c r="I797" i="2"/>
  <c r="H797" i="2"/>
  <c r="E797" i="2"/>
  <c r="D797" i="2"/>
  <c r="F797" i="2" s="1"/>
  <c r="G797" i="2" s="1"/>
  <c r="C797" i="2"/>
  <c r="B797" i="2"/>
  <c r="A797" i="2"/>
  <c r="K796" i="2"/>
  <c r="J796" i="2"/>
  <c r="I796" i="2"/>
  <c r="H796" i="2"/>
  <c r="E796" i="2"/>
  <c r="D796" i="2"/>
  <c r="C796" i="2"/>
  <c r="F796" i="2" s="1"/>
  <c r="B796" i="2"/>
  <c r="G796" i="2" s="1"/>
  <c r="A796" i="2"/>
  <c r="L795" i="2"/>
  <c r="K795" i="2"/>
  <c r="J795" i="2"/>
  <c r="I795" i="2"/>
  <c r="H795" i="2"/>
  <c r="E795" i="2"/>
  <c r="D795" i="2"/>
  <c r="C795" i="2"/>
  <c r="F795" i="2" s="1"/>
  <c r="B795" i="2"/>
  <c r="A795" i="2"/>
  <c r="K794" i="2"/>
  <c r="J794" i="2"/>
  <c r="I794" i="2"/>
  <c r="H794" i="2"/>
  <c r="L794" i="2" s="1"/>
  <c r="E794" i="2"/>
  <c r="D794" i="2"/>
  <c r="C794" i="2"/>
  <c r="B794" i="2"/>
  <c r="A794" i="2"/>
  <c r="K793" i="2"/>
  <c r="J793" i="2"/>
  <c r="I793" i="2"/>
  <c r="H793" i="2"/>
  <c r="E793" i="2"/>
  <c r="D793" i="2"/>
  <c r="C793" i="2"/>
  <c r="F793" i="2" s="1"/>
  <c r="G793" i="2" s="1"/>
  <c r="B793" i="2"/>
  <c r="A793" i="2"/>
  <c r="K792" i="2"/>
  <c r="J792" i="2"/>
  <c r="I792" i="2"/>
  <c r="H792" i="2"/>
  <c r="E792" i="2"/>
  <c r="D792" i="2"/>
  <c r="C792" i="2"/>
  <c r="F792" i="2" s="1"/>
  <c r="B792" i="2"/>
  <c r="A792" i="2"/>
  <c r="L791" i="2"/>
  <c r="K791" i="2"/>
  <c r="J791" i="2"/>
  <c r="I791" i="2"/>
  <c r="H791" i="2"/>
  <c r="E791" i="2"/>
  <c r="D791" i="2"/>
  <c r="C791" i="2"/>
  <c r="F791" i="2" s="1"/>
  <c r="B791" i="2"/>
  <c r="A791" i="2"/>
  <c r="K790" i="2"/>
  <c r="J790" i="2"/>
  <c r="I790" i="2"/>
  <c r="H790" i="2"/>
  <c r="L790" i="2" s="1"/>
  <c r="E790" i="2"/>
  <c r="F790" i="2" s="1"/>
  <c r="G790" i="2" s="1"/>
  <c r="M790" i="2" s="1"/>
  <c r="D790" i="2"/>
  <c r="C790" i="2"/>
  <c r="B790" i="2"/>
  <c r="A790" i="2"/>
  <c r="K789" i="2"/>
  <c r="J789" i="2"/>
  <c r="I789" i="2"/>
  <c r="H789" i="2"/>
  <c r="E789" i="2"/>
  <c r="D789" i="2"/>
  <c r="C789" i="2"/>
  <c r="B789" i="2"/>
  <c r="A789" i="2"/>
  <c r="L788" i="2"/>
  <c r="K788" i="2"/>
  <c r="J788" i="2"/>
  <c r="I788" i="2"/>
  <c r="H788" i="2"/>
  <c r="E788" i="2"/>
  <c r="D788" i="2"/>
  <c r="C788" i="2"/>
  <c r="F788" i="2" s="1"/>
  <c r="B788" i="2"/>
  <c r="G788" i="2" s="1"/>
  <c r="A788" i="2"/>
  <c r="K787" i="2"/>
  <c r="J787" i="2"/>
  <c r="I787" i="2"/>
  <c r="H787" i="2"/>
  <c r="E787" i="2"/>
  <c r="D787" i="2"/>
  <c r="F787" i="2" s="1"/>
  <c r="G787" i="2" s="1"/>
  <c r="C787" i="2"/>
  <c r="B787" i="2"/>
  <c r="A787" i="2"/>
  <c r="M786" i="2"/>
  <c r="L786" i="2"/>
  <c r="K786" i="2"/>
  <c r="J786" i="2"/>
  <c r="I786" i="2"/>
  <c r="H786" i="2"/>
  <c r="E786" i="2"/>
  <c r="D786" i="2"/>
  <c r="C786" i="2"/>
  <c r="F786" i="2" s="1"/>
  <c r="B786" i="2"/>
  <c r="G786" i="2" s="1"/>
  <c r="A786" i="2"/>
  <c r="K785" i="2"/>
  <c r="J785" i="2"/>
  <c r="L785" i="2" s="1"/>
  <c r="I785" i="2"/>
  <c r="H785" i="2"/>
  <c r="E785" i="2"/>
  <c r="D785" i="2"/>
  <c r="F785" i="2" s="1"/>
  <c r="G785" i="2" s="1"/>
  <c r="C785" i="2"/>
  <c r="B785" i="2"/>
  <c r="A785" i="2"/>
  <c r="K784" i="2"/>
  <c r="J784" i="2"/>
  <c r="I784" i="2"/>
  <c r="H784" i="2"/>
  <c r="G784" i="2"/>
  <c r="F784" i="2"/>
  <c r="E784" i="2"/>
  <c r="D784" i="2"/>
  <c r="C784" i="2"/>
  <c r="B784" i="2"/>
  <c r="A784" i="2"/>
  <c r="K783" i="2"/>
  <c r="J783" i="2"/>
  <c r="I783" i="2"/>
  <c r="H783" i="2"/>
  <c r="E783" i="2"/>
  <c r="D783" i="2"/>
  <c r="C783" i="2"/>
  <c r="F783" i="2" s="1"/>
  <c r="B783" i="2"/>
  <c r="G783" i="2" s="1"/>
  <c r="A783" i="2"/>
  <c r="L782" i="2"/>
  <c r="K782" i="2"/>
  <c r="J782" i="2"/>
  <c r="I782" i="2"/>
  <c r="H782" i="2"/>
  <c r="E782" i="2"/>
  <c r="F782" i="2" s="1"/>
  <c r="D782" i="2"/>
  <c r="C782" i="2"/>
  <c r="B782" i="2"/>
  <c r="G782" i="2" s="1"/>
  <c r="M782" i="2" s="1"/>
  <c r="A782" i="2"/>
  <c r="K781" i="2"/>
  <c r="J781" i="2"/>
  <c r="I781" i="2"/>
  <c r="H781" i="2"/>
  <c r="L781" i="2" s="1"/>
  <c r="E781" i="2"/>
  <c r="D781" i="2"/>
  <c r="F781" i="2" s="1"/>
  <c r="G781" i="2" s="1"/>
  <c r="M781" i="2" s="1"/>
  <c r="C781" i="2"/>
  <c r="B781" i="2"/>
  <c r="A781" i="2"/>
  <c r="K780" i="2"/>
  <c r="J780" i="2"/>
  <c r="I780" i="2"/>
  <c r="H780" i="2"/>
  <c r="F780" i="2"/>
  <c r="G780" i="2" s="1"/>
  <c r="E780" i="2"/>
  <c r="D780" i="2"/>
  <c r="C780" i="2"/>
  <c r="B780" i="2"/>
  <c r="A780" i="2"/>
  <c r="K779" i="2"/>
  <c r="J779" i="2"/>
  <c r="I779" i="2"/>
  <c r="H779" i="2"/>
  <c r="E779" i="2"/>
  <c r="D779" i="2"/>
  <c r="C779" i="2"/>
  <c r="F779" i="2" s="1"/>
  <c r="B779" i="2"/>
  <c r="G779" i="2" s="1"/>
  <c r="A779" i="2"/>
  <c r="K778" i="2"/>
  <c r="L778" i="2" s="1"/>
  <c r="J778" i="2"/>
  <c r="I778" i="2"/>
  <c r="H778" i="2"/>
  <c r="E778" i="2"/>
  <c r="D778" i="2"/>
  <c r="C778" i="2"/>
  <c r="B778" i="2"/>
  <c r="A778" i="2"/>
  <c r="K777" i="2"/>
  <c r="J777" i="2"/>
  <c r="I777" i="2"/>
  <c r="H777" i="2"/>
  <c r="E777" i="2"/>
  <c r="F777" i="2" s="1"/>
  <c r="G777" i="2" s="1"/>
  <c r="D777" i="2"/>
  <c r="C777" i="2"/>
  <c r="B777" i="2"/>
  <c r="A777" i="2"/>
  <c r="K776" i="2"/>
  <c r="J776" i="2"/>
  <c r="I776" i="2"/>
  <c r="H776" i="2"/>
  <c r="L776" i="2" s="1"/>
  <c r="E776" i="2"/>
  <c r="D776" i="2"/>
  <c r="C776" i="2"/>
  <c r="F776" i="2" s="1"/>
  <c r="G776" i="2" s="1"/>
  <c r="B776" i="2"/>
  <c r="A776" i="2"/>
  <c r="K775" i="2"/>
  <c r="J775" i="2"/>
  <c r="L775" i="2" s="1"/>
  <c r="I775" i="2"/>
  <c r="H775" i="2"/>
  <c r="G775" i="2"/>
  <c r="F775" i="2"/>
  <c r="E775" i="2"/>
  <c r="D775" i="2"/>
  <c r="C775" i="2"/>
  <c r="B775" i="2"/>
  <c r="A775" i="2"/>
  <c r="K774" i="2"/>
  <c r="J774" i="2"/>
  <c r="I774" i="2"/>
  <c r="H774" i="2"/>
  <c r="E774" i="2"/>
  <c r="D774" i="2"/>
  <c r="C774" i="2"/>
  <c r="F774" i="2" s="1"/>
  <c r="G774" i="2" s="1"/>
  <c r="B774" i="2"/>
  <c r="A774" i="2"/>
  <c r="L773" i="2"/>
  <c r="K773" i="2"/>
  <c r="J773" i="2"/>
  <c r="I773" i="2"/>
  <c r="H773" i="2"/>
  <c r="F773" i="2"/>
  <c r="E773" i="2"/>
  <c r="D773" i="2"/>
  <c r="C773" i="2"/>
  <c r="B773" i="2"/>
  <c r="G773" i="2" s="1"/>
  <c r="A773" i="2"/>
  <c r="K772" i="2"/>
  <c r="J772" i="2"/>
  <c r="I772" i="2"/>
  <c r="L772" i="2" s="1"/>
  <c r="H772" i="2"/>
  <c r="E772" i="2"/>
  <c r="D772" i="2"/>
  <c r="C772" i="2"/>
  <c r="F772" i="2" s="1"/>
  <c r="B772" i="2"/>
  <c r="A772" i="2"/>
  <c r="K771" i="2"/>
  <c r="J771" i="2"/>
  <c r="I771" i="2"/>
  <c r="H771" i="2"/>
  <c r="L771" i="2" s="1"/>
  <c r="G771" i="2"/>
  <c r="F771" i="2"/>
  <c r="E771" i="2"/>
  <c r="D771" i="2"/>
  <c r="C771" i="2"/>
  <c r="B771" i="2"/>
  <c r="A771" i="2"/>
  <c r="L770" i="2"/>
  <c r="K770" i="2"/>
  <c r="J770" i="2"/>
  <c r="I770" i="2"/>
  <c r="H770" i="2"/>
  <c r="E770" i="2"/>
  <c r="F770" i="2" s="1"/>
  <c r="D770" i="2"/>
  <c r="C770" i="2"/>
  <c r="B770" i="2"/>
  <c r="G770" i="2" s="1"/>
  <c r="A770" i="2"/>
  <c r="K769" i="2"/>
  <c r="L769" i="2" s="1"/>
  <c r="J769" i="2"/>
  <c r="I769" i="2"/>
  <c r="H769" i="2"/>
  <c r="E769" i="2"/>
  <c r="D769" i="2"/>
  <c r="C769" i="2"/>
  <c r="F769" i="2" s="1"/>
  <c r="B769" i="2"/>
  <c r="A769" i="2"/>
  <c r="L768" i="2"/>
  <c r="K768" i="2"/>
  <c r="J768" i="2"/>
  <c r="I768" i="2"/>
  <c r="H768" i="2"/>
  <c r="E768" i="2"/>
  <c r="D768" i="2"/>
  <c r="C768" i="2"/>
  <c r="F768" i="2" s="1"/>
  <c r="B768" i="2"/>
  <c r="A768" i="2"/>
  <c r="K767" i="2"/>
  <c r="J767" i="2"/>
  <c r="I767" i="2"/>
  <c r="H767" i="2"/>
  <c r="L767" i="2" s="1"/>
  <c r="E767" i="2"/>
  <c r="D767" i="2"/>
  <c r="F767" i="2" s="1"/>
  <c r="G767" i="2" s="1"/>
  <c r="M767" i="2" s="1"/>
  <c r="C767" i="2"/>
  <c r="B767" i="2"/>
  <c r="A767" i="2"/>
  <c r="K766" i="2"/>
  <c r="J766" i="2"/>
  <c r="I766" i="2"/>
  <c r="H766" i="2"/>
  <c r="L766" i="2" s="1"/>
  <c r="E766" i="2"/>
  <c r="D766" i="2"/>
  <c r="C766" i="2"/>
  <c r="B766" i="2"/>
  <c r="A766" i="2"/>
  <c r="L765" i="2"/>
  <c r="K765" i="2"/>
  <c r="J765" i="2"/>
  <c r="I765" i="2"/>
  <c r="H765" i="2"/>
  <c r="E765" i="2"/>
  <c r="D765" i="2"/>
  <c r="C765" i="2"/>
  <c r="F765" i="2" s="1"/>
  <c r="B765" i="2"/>
  <c r="A765" i="2"/>
  <c r="K764" i="2"/>
  <c r="J764" i="2"/>
  <c r="I764" i="2"/>
  <c r="H764" i="2"/>
  <c r="E764" i="2"/>
  <c r="D764" i="2"/>
  <c r="F764" i="2" s="1"/>
  <c r="G764" i="2" s="1"/>
  <c r="C764" i="2"/>
  <c r="B764" i="2"/>
  <c r="A764" i="2"/>
  <c r="K763" i="2"/>
  <c r="J763" i="2"/>
  <c r="I763" i="2"/>
  <c r="H763" i="2"/>
  <c r="L763" i="2" s="1"/>
  <c r="E763" i="2"/>
  <c r="D763" i="2"/>
  <c r="C763" i="2"/>
  <c r="F763" i="2" s="1"/>
  <c r="G763" i="2" s="1"/>
  <c r="M763" i="2" s="1"/>
  <c r="B763" i="2"/>
  <c r="A763" i="2"/>
  <c r="K762" i="2"/>
  <c r="J762" i="2"/>
  <c r="L762" i="2" s="1"/>
  <c r="I762" i="2"/>
  <c r="H762" i="2"/>
  <c r="F762" i="2"/>
  <c r="E762" i="2"/>
  <c r="D762" i="2"/>
  <c r="C762" i="2"/>
  <c r="B762" i="2"/>
  <c r="A762" i="2"/>
  <c r="L761" i="2"/>
  <c r="K761" i="2"/>
  <c r="J761" i="2"/>
  <c r="I761" i="2"/>
  <c r="H761" i="2"/>
  <c r="E761" i="2"/>
  <c r="D761" i="2"/>
  <c r="C761" i="2"/>
  <c r="F761" i="2" s="1"/>
  <c r="B761" i="2"/>
  <c r="A761" i="2"/>
  <c r="K760" i="2"/>
  <c r="J760" i="2"/>
  <c r="I760" i="2"/>
  <c r="H760" i="2"/>
  <c r="E760" i="2"/>
  <c r="F760" i="2" s="1"/>
  <c r="D760" i="2"/>
  <c r="C760" i="2"/>
  <c r="B760" i="2"/>
  <c r="G760" i="2" s="1"/>
  <c r="A760" i="2"/>
  <c r="K759" i="2"/>
  <c r="J759" i="2"/>
  <c r="I759" i="2"/>
  <c r="H759" i="2"/>
  <c r="L759" i="2" s="1"/>
  <c r="E759" i="2"/>
  <c r="D759" i="2"/>
  <c r="C759" i="2"/>
  <c r="B759" i="2"/>
  <c r="A759" i="2"/>
  <c r="K758" i="2"/>
  <c r="J758" i="2"/>
  <c r="I758" i="2"/>
  <c r="H758" i="2"/>
  <c r="L758" i="2" s="1"/>
  <c r="E758" i="2"/>
  <c r="D758" i="2"/>
  <c r="F758" i="2" s="1"/>
  <c r="G758" i="2" s="1"/>
  <c r="M758" i="2" s="1"/>
  <c r="C758" i="2"/>
  <c r="B758" i="2"/>
  <c r="A758" i="2"/>
  <c r="K757" i="2"/>
  <c r="J757" i="2"/>
  <c r="I757" i="2"/>
  <c r="H757" i="2"/>
  <c r="E757" i="2"/>
  <c r="F757" i="2" s="1"/>
  <c r="G757" i="2" s="1"/>
  <c r="D757" i="2"/>
  <c r="C757" i="2"/>
  <c r="B757" i="2"/>
  <c r="A757" i="2"/>
  <c r="L756" i="2"/>
  <c r="K756" i="2"/>
  <c r="J756" i="2"/>
  <c r="I756" i="2"/>
  <c r="H756" i="2"/>
  <c r="E756" i="2"/>
  <c r="D756" i="2"/>
  <c r="C756" i="2"/>
  <c r="F756" i="2" s="1"/>
  <c r="B756" i="2"/>
  <c r="G756" i="2" s="1"/>
  <c r="A756" i="2"/>
  <c r="K755" i="2"/>
  <c r="J755" i="2"/>
  <c r="I755" i="2"/>
  <c r="H755" i="2"/>
  <c r="E755" i="2"/>
  <c r="D755" i="2"/>
  <c r="F755" i="2" s="1"/>
  <c r="C755" i="2"/>
  <c r="B755" i="2"/>
  <c r="A755" i="2"/>
  <c r="M754" i="2"/>
  <c r="K754" i="2"/>
  <c r="J754" i="2"/>
  <c r="I754" i="2"/>
  <c r="H754" i="2"/>
  <c r="L754" i="2" s="1"/>
  <c r="E754" i="2"/>
  <c r="D754" i="2"/>
  <c r="C754" i="2"/>
  <c r="F754" i="2" s="1"/>
  <c r="G754" i="2" s="1"/>
  <c r="B754" i="2"/>
  <c r="A754" i="2"/>
  <c r="K753" i="2"/>
  <c r="J753" i="2"/>
  <c r="I753" i="2"/>
  <c r="H753" i="2"/>
  <c r="F753" i="2"/>
  <c r="G753" i="2" s="1"/>
  <c r="E753" i="2"/>
  <c r="D753" i="2"/>
  <c r="C753" i="2"/>
  <c r="B753" i="2"/>
  <c r="A753" i="2"/>
  <c r="L752" i="2"/>
  <c r="K752" i="2"/>
  <c r="J752" i="2"/>
  <c r="I752" i="2"/>
  <c r="H752" i="2"/>
  <c r="E752" i="2"/>
  <c r="D752" i="2"/>
  <c r="C752" i="2"/>
  <c r="F752" i="2" s="1"/>
  <c r="B752" i="2"/>
  <c r="G752" i="2" s="1"/>
  <c r="A752" i="2"/>
  <c r="L751" i="2"/>
  <c r="K751" i="2"/>
  <c r="J751" i="2"/>
  <c r="I751" i="2"/>
  <c r="H751" i="2"/>
  <c r="E751" i="2"/>
  <c r="F751" i="2" s="1"/>
  <c r="D751" i="2"/>
  <c r="C751" i="2"/>
  <c r="B751" i="2"/>
  <c r="G751" i="2" s="1"/>
  <c r="A751" i="2"/>
  <c r="K750" i="2"/>
  <c r="J750" i="2"/>
  <c r="I750" i="2"/>
  <c r="H750" i="2"/>
  <c r="L750" i="2" s="1"/>
  <c r="E750" i="2"/>
  <c r="F750" i="2" s="1"/>
  <c r="G750" i="2" s="1"/>
  <c r="D750" i="2"/>
  <c r="C750" i="2"/>
  <c r="B750" i="2"/>
  <c r="A750" i="2"/>
  <c r="K749" i="2"/>
  <c r="J749" i="2"/>
  <c r="I749" i="2"/>
  <c r="H749" i="2"/>
  <c r="F749" i="2"/>
  <c r="E749" i="2"/>
  <c r="D749" i="2"/>
  <c r="C749" i="2"/>
  <c r="B749" i="2"/>
  <c r="A749" i="2"/>
  <c r="K748" i="2"/>
  <c r="J748" i="2"/>
  <c r="I748" i="2"/>
  <c r="L748" i="2" s="1"/>
  <c r="H748" i="2"/>
  <c r="E748" i="2"/>
  <c r="D748" i="2"/>
  <c r="C748" i="2"/>
  <c r="F748" i="2" s="1"/>
  <c r="B748" i="2"/>
  <c r="A748" i="2"/>
  <c r="L747" i="2"/>
  <c r="K747" i="2"/>
  <c r="J747" i="2"/>
  <c r="I747" i="2"/>
  <c r="H747" i="2"/>
  <c r="E747" i="2"/>
  <c r="F747" i="2" s="1"/>
  <c r="D747" i="2"/>
  <c r="C747" i="2"/>
  <c r="B747" i="2"/>
  <c r="G747" i="2" s="1"/>
  <c r="A747" i="2"/>
  <c r="K746" i="2"/>
  <c r="J746" i="2"/>
  <c r="I746" i="2"/>
  <c r="H746" i="2"/>
  <c r="L746" i="2" s="1"/>
  <c r="E746" i="2"/>
  <c r="D746" i="2"/>
  <c r="C746" i="2"/>
  <c r="F746" i="2" s="1"/>
  <c r="G746" i="2" s="1"/>
  <c r="B746" i="2"/>
  <c r="A746" i="2"/>
  <c r="K745" i="2"/>
  <c r="J745" i="2"/>
  <c r="I745" i="2"/>
  <c r="H745" i="2"/>
  <c r="G745" i="2"/>
  <c r="F745" i="2"/>
  <c r="E745" i="2"/>
  <c r="D745" i="2"/>
  <c r="C745" i="2"/>
  <c r="B745" i="2"/>
  <c r="A745" i="2"/>
  <c r="K744" i="2"/>
  <c r="J744" i="2"/>
  <c r="I744" i="2"/>
  <c r="H744" i="2"/>
  <c r="E744" i="2"/>
  <c r="D744" i="2"/>
  <c r="C744" i="2"/>
  <c r="F744" i="2" s="1"/>
  <c r="G744" i="2" s="1"/>
  <c r="B744" i="2"/>
  <c r="A744" i="2"/>
  <c r="L743" i="2"/>
  <c r="K743" i="2"/>
  <c r="J743" i="2"/>
  <c r="I743" i="2"/>
  <c r="H743" i="2"/>
  <c r="E743" i="2"/>
  <c r="F743" i="2" s="1"/>
  <c r="D743" i="2"/>
  <c r="C743" i="2"/>
  <c r="B743" i="2"/>
  <c r="G743" i="2" s="1"/>
  <c r="A743" i="2"/>
  <c r="K742" i="2"/>
  <c r="J742" i="2"/>
  <c r="I742" i="2"/>
  <c r="H742" i="2"/>
  <c r="L742" i="2" s="1"/>
  <c r="E742" i="2"/>
  <c r="D742" i="2"/>
  <c r="C742" i="2"/>
  <c r="B742" i="2"/>
  <c r="A742" i="2"/>
  <c r="K741" i="2"/>
  <c r="J741" i="2"/>
  <c r="I741" i="2"/>
  <c r="H741" i="2"/>
  <c r="L741" i="2" s="1"/>
  <c r="G741" i="2"/>
  <c r="E741" i="2"/>
  <c r="D741" i="2"/>
  <c r="C741" i="2"/>
  <c r="F741" i="2" s="1"/>
  <c r="B741" i="2"/>
  <c r="A741" i="2"/>
  <c r="K740" i="2"/>
  <c r="J740" i="2"/>
  <c r="L740" i="2" s="1"/>
  <c r="I740" i="2"/>
  <c r="H740" i="2"/>
  <c r="E740" i="2"/>
  <c r="D740" i="2"/>
  <c r="F740" i="2" s="1"/>
  <c r="C740" i="2"/>
  <c r="B740" i="2"/>
  <c r="G740" i="2" s="1"/>
  <c r="A740" i="2"/>
  <c r="K739" i="2"/>
  <c r="J739" i="2"/>
  <c r="I739" i="2"/>
  <c r="H739" i="2"/>
  <c r="L739" i="2" s="1"/>
  <c r="G739" i="2"/>
  <c r="M739" i="2" s="1"/>
  <c r="E739" i="2"/>
  <c r="D739" i="2"/>
  <c r="C739" i="2"/>
  <c r="F739" i="2" s="1"/>
  <c r="B739" i="2"/>
  <c r="A739" i="2"/>
  <c r="K738" i="2"/>
  <c r="J738" i="2"/>
  <c r="I738" i="2"/>
  <c r="H738" i="2"/>
  <c r="G738" i="2"/>
  <c r="F738" i="2"/>
  <c r="E738" i="2"/>
  <c r="D738" i="2"/>
  <c r="C738" i="2"/>
  <c r="B738" i="2"/>
  <c r="A738" i="2"/>
  <c r="K737" i="2"/>
  <c r="J737" i="2"/>
  <c r="I737" i="2"/>
  <c r="H737" i="2"/>
  <c r="E737" i="2"/>
  <c r="D737" i="2"/>
  <c r="C737" i="2"/>
  <c r="F737" i="2" s="1"/>
  <c r="B737" i="2"/>
  <c r="A737" i="2"/>
  <c r="L736" i="2"/>
  <c r="K736" i="2"/>
  <c r="J736" i="2"/>
  <c r="I736" i="2"/>
  <c r="H736" i="2"/>
  <c r="E736" i="2"/>
  <c r="D736" i="2"/>
  <c r="C736" i="2"/>
  <c r="F736" i="2" s="1"/>
  <c r="B736" i="2"/>
  <c r="A736" i="2"/>
  <c r="K735" i="2"/>
  <c r="J735" i="2"/>
  <c r="I735" i="2"/>
  <c r="L735" i="2" s="1"/>
  <c r="H735" i="2"/>
  <c r="E735" i="2"/>
  <c r="F735" i="2" s="1"/>
  <c r="D735" i="2"/>
  <c r="C735" i="2"/>
  <c r="B735" i="2"/>
  <c r="G735" i="2" s="1"/>
  <c r="M735" i="2" s="1"/>
  <c r="A735" i="2"/>
  <c r="L734" i="2"/>
  <c r="K734" i="2"/>
  <c r="J734" i="2"/>
  <c r="I734" i="2"/>
  <c r="H734" i="2"/>
  <c r="E734" i="2"/>
  <c r="D734" i="2"/>
  <c r="C734" i="2"/>
  <c r="F734" i="2" s="1"/>
  <c r="B734" i="2"/>
  <c r="G734" i="2" s="1"/>
  <c r="M734" i="2" s="1"/>
  <c r="A734" i="2"/>
  <c r="L733" i="2"/>
  <c r="K733" i="2"/>
  <c r="J733" i="2"/>
  <c r="I733" i="2"/>
  <c r="H733" i="2"/>
  <c r="E733" i="2"/>
  <c r="F733" i="2" s="1"/>
  <c r="D733" i="2"/>
  <c r="C733" i="2"/>
  <c r="B733" i="2"/>
  <c r="G733" i="2" s="1"/>
  <c r="M733" i="2" s="1"/>
  <c r="A733" i="2"/>
  <c r="K732" i="2"/>
  <c r="J732" i="2"/>
  <c r="I732" i="2"/>
  <c r="H732" i="2"/>
  <c r="L732" i="2" s="1"/>
  <c r="E732" i="2"/>
  <c r="D732" i="2"/>
  <c r="F732" i="2" s="1"/>
  <c r="G732" i="2" s="1"/>
  <c r="M732" i="2" s="1"/>
  <c r="C732" i="2"/>
  <c r="B732" i="2"/>
  <c r="A732" i="2"/>
  <c r="K731" i="2"/>
  <c r="J731" i="2"/>
  <c r="I731" i="2"/>
  <c r="H731" i="2"/>
  <c r="E731" i="2"/>
  <c r="D731" i="2"/>
  <c r="C731" i="2"/>
  <c r="F731" i="2" s="1"/>
  <c r="G731" i="2" s="1"/>
  <c r="B731" i="2"/>
  <c r="A731" i="2"/>
  <c r="K730" i="2"/>
  <c r="J730" i="2"/>
  <c r="I730" i="2"/>
  <c r="H730" i="2"/>
  <c r="E730" i="2"/>
  <c r="D730" i="2"/>
  <c r="F730" i="2" s="1"/>
  <c r="G730" i="2" s="1"/>
  <c r="C730" i="2"/>
  <c r="B730" i="2"/>
  <c r="A730" i="2"/>
  <c r="K729" i="2"/>
  <c r="J729" i="2"/>
  <c r="I729" i="2"/>
  <c r="H729" i="2"/>
  <c r="L729" i="2" s="1"/>
  <c r="E729" i="2"/>
  <c r="D729" i="2"/>
  <c r="C729" i="2"/>
  <c r="B729" i="2"/>
  <c r="A729" i="2"/>
  <c r="K728" i="2"/>
  <c r="J728" i="2"/>
  <c r="L728" i="2" s="1"/>
  <c r="I728" i="2"/>
  <c r="H728" i="2"/>
  <c r="F728" i="2"/>
  <c r="G728" i="2" s="1"/>
  <c r="M728" i="2" s="1"/>
  <c r="E728" i="2"/>
  <c r="D728" i="2"/>
  <c r="C728" i="2"/>
  <c r="B728" i="2"/>
  <c r="A728" i="2"/>
  <c r="K727" i="2"/>
  <c r="J727" i="2"/>
  <c r="I727" i="2"/>
  <c r="H727" i="2"/>
  <c r="E727" i="2"/>
  <c r="D727" i="2"/>
  <c r="C727" i="2"/>
  <c r="F727" i="2" s="1"/>
  <c r="B727" i="2"/>
  <c r="G727" i="2" s="1"/>
  <c r="A727" i="2"/>
  <c r="L726" i="2"/>
  <c r="K726" i="2"/>
  <c r="J726" i="2"/>
  <c r="I726" i="2"/>
  <c r="H726" i="2"/>
  <c r="E726" i="2"/>
  <c r="D726" i="2"/>
  <c r="C726" i="2"/>
  <c r="F726" i="2" s="1"/>
  <c r="B726" i="2"/>
  <c r="A726" i="2"/>
  <c r="K725" i="2"/>
  <c r="J725" i="2"/>
  <c r="I725" i="2"/>
  <c r="L725" i="2" s="1"/>
  <c r="H725" i="2"/>
  <c r="E725" i="2"/>
  <c r="F725" i="2" s="1"/>
  <c r="D725" i="2"/>
  <c r="C725" i="2"/>
  <c r="B725" i="2"/>
  <c r="A725" i="2"/>
  <c r="K724" i="2"/>
  <c r="J724" i="2"/>
  <c r="I724" i="2"/>
  <c r="H724" i="2"/>
  <c r="L724" i="2" s="1"/>
  <c r="E724" i="2"/>
  <c r="D724" i="2"/>
  <c r="C724" i="2"/>
  <c r="F724" i="2" s="1"/>
  <c r="B724" i="2"/>
  <c r="G724" i="2" s="1"/>
  <c r="A724" i="2"/>
  <c r="L723" i="2"/>
  <c r="K723" i="2"/>
  <c r="J723" i="2"/>
  <c r="I723" i="2"/>
  <c r="H723" i="2"/>
  <c r="E723" i="2"/>
  <c r="F723" i="2" s="1"/>
  <c r="D723" i="2"/>
  <c r="C723" i="2"/>
  <c r="B723" i="2"/>
  <c r="G723" i="2" s="1"/>
  <c r="M723" i="2" s="1"/>
  <c r="A723" i="2"/>
  <c r="K722" i="2"/>
  <c r="J722" i="2"/>
  <c r="I722" i="2"/>
  <c r="H722" i="2"/>
  <c r="L722" i="2" s="1"/>
  <c r="E722" i="2"/>
  <c r="D722" i="2"/>
  <c r="F722" i="2" s="1"/>
  <c r="G722" i="2" s="1"/>
  <c r="M722" i="2" s="1"/>
  <c r="C722" i="2"/>
  <c r="B722" i="2"/>
  <c r="A722" i="2"/>
  <c r="K721" i="2"/>
  <c r="J721" i="2"/>
  <c r="I721" i="2"/>
  <c r="H721" i="2"/>
  <c r="E721" i="2"/>
  <c r="D721" i="2"/>
  <c r="C721" i="2"/>
  <c r="F721" i="2" s="1"/>
  <c r="G721" i="2" s="1"/>
  <c r="B721" i="2"/>
  <c r="A721" i="2"/>
  <c r="K720" i="2"/>
  <c r="J720" i="2"/>
  <c r="I720" i="2"/>
  <c r="H720" i="2"/>
  <c r="E720" i="2"/>
  <c r="D720" i="2"/>
  <c r="F720" i="2" s="1"/>
  <c r="G720" i="2" s="1"/>
  <c r="C720" i="2"/>
  <c r="B720" i="2"/>
  <c r="A720" i="2"/>
  <c r="K719" i="2"/>
  <c r="J719" i="2"/>
  <c r="I719" i="2"/>
  <c r="H719" i="2"/>
  <c r="L719" i="2" s="1"/>
  <c r="E719" i="2"/>
  <c r="D719" i="2"/>
  <c r="C719" i="2"/>
  <c r="F719" i="2" s="1"/>
  <c r="G719" i="2" s="1"/>
  <c r="M719" i="2" s="1"/>
  <c r="B719" i="2"/>
  <c r="A719" i="2"/>
  <c r="K718" i="2"/>
  <c r="J718" i="2"/>
  <c r="L718" i="2" s="1"/>
  <c r="I718" i="2"/>
  <c r="H718" i="2"/>
  <c r="G718" i="2"/>
  <c r="M718" i="2" s="1"/>
  <c r="F718" i="2"/>
  <c r="E718" i="2"/>
  <c r="D718" i="2"/>
  <c r="C718" i="2"/>
  <c r="B718" i="2"/>
  <c r="A718" i="2"/>
  <c r="K717" i="2"/>
  <c r="J717" i="2"/>
  <c r="I717" i="2"/>
  <c r="L717" i="2" s="1"/>
  <c r="H717" i="2"/>
  <c r="E717" i="2"/>
  <c r="D717" i="2"/>
  <c r="C717" i="2"/>
  <c r="F717" i="2" s="1"/>
  <c r="B717" i="2"/>
  <c r="G717" i="2" s="1"/>
  <c r="M717" i="2" s="1"/>
  <c r="A717" i="2"/>
  <c r="L716" i="2"/>
  <c r="K716" i="2"/>
  <c r="J716" i="2"/>
  <c r="I716" i="2"/>
  <c r="H716" i="2"/>
  <c r="F716" i="2"/>
  <c r="E716" i="2"/>
  <c r="D716" i="2"/>
  <c r="C716" i="2"/>
  <c r="B716" i="2"/>
  <c r="A716" i="2"/>
  <c r="K715" i="2"/>
  <c r="J715" i="2"/>
  <c r="I715" i="2"/>
  <c r="L715" i="2" s="1"/>
  <c r="H715" i="2"/>
  <c r="F715" i="2"/>
  <c r="E715" i="2"/>
  <c r="D715" i="2"/>
  <c r="C715" i="2"/>
  <c r="B715" i="2"/>
  <c r="A715" i="2"/>
  <c r="K714" i="2"/>
  <c r="J714" i="2"/>
  <c r="I714" i="2"/>
  <c r="H714" i="2"/>
  <c r="L714" i="2" s="1"/>
  <c r="E714" i="2"/>
  <c r="D714" i="2"/>
  <c r="C714" i="2"/>
  <c r="F714" i="2" s="1"/>
  <c r="B714" i="2"/>
  <c r="A714" i="2"/>
  <c r="K713" i="2"/>
  <c r="L713" i="2" s="1"/>
  <c r="J713" i="2"/>
  <c r="I713" i="2"/>
  <c r="H713" i="2"/>
  <c r="E713" i="2"/>
  <c r="F713" i="2" s="1"/>
  <c r="D713" i="2"/>
  <c r="C713" i="2"/>
  <c r="B713" i="2"/>
  <c r="A713" i="2"/>
  <c r="K712" i="2"/>
  <c r="J712" i="2"/>
  <c r="I712" i="2"/>
  <c r="H712" i="2"/>
  <c r="L712" i="2" s="1"/>
  <c r="E712" i="2"/>
  <c r="D712" i="2"/>
  <c r="C712" i="2"/>
  <c r="B712" i="2"/>
  <c r="A712" i="2"/>
  <c r="K711" i="2"/>
  <c r="J711" i="2"/>
  <c r="I711" i="2"/>
  <c r="H711" i="2"/>
  <c r="L711" i="2" s="1"/>
  <c r="E711" i="2"/>
  <c r="D711" i="2"/>
  <c r="C711" i="2"/>
  <c r="F711" i="2" s="1"/>
  <c r="G711" i="2" s="1"/>
  <c r="M711" i="2" s="1"/>
  <c r="B711" i="2"/>
  <c r="A711" i="2"/>
  <c r="K710" i="2"/>
  <c r="J710" i="2"/>
  <c r="L710" i="2" s="1"/>
  <c r="I710" i="2"/>
  <c r="H710" i="2"/>
  <c r="E710" i="2"/>
  <c r="D710" i="2"/>
  <c r="F710" i="2" s="1"/>
  <c r="G710" i="2" s="1"/>
  <c r="M710" i="2" s="1"/>
  <c r="C710" i="2"/>
  <c r="B710" i="2"/>
  <c r="A710" i="2"/>
  <c r="K709" i="2"/>
  <c r="J709" i="2"/>
  <c r="I709" i="2"/>
  <c r="H709" i="2"/>
  <c r="L709" i="2" s="1"/>
  <c r="E709" i="2"/>
  <c r="D709" i="2"/>
  <c r="C709" i="2"/>
  <c r="F709" i="2" s="1"/>
  <c r="G709" i="2" s="1"/>
  <c r="M709" i="2" s="1"/>
  <c r="B709" i="2"/>
  <c r="A709" i="2"/>
  <c r="K708" i="2"/>
  <c r="J708" i="2"/>
  <c r="L708" i="2" s="1"/>
  <c r="I708" i="2"/>
  <c r="H708" i="2"/>
  <c r="F708" i="2"/>
  <c r="G708" i="2" s="1"/>
  <c r="M708" i="2" s="1"/>
  <c r="E708" i="2"/>
  <c r="D708" i="2"/>
  <c r="C708" i="2"/>
  <c r="B708" i="2"/>
  <c r="A708" i="2"/>
  <c r="K707" i="2"/>
  <c r="J707" i="2"/>
  <c r="I707" i="2"/>
  <c r="L707" i="2" s="1"/>
  <c r="H707" i="2"/>
  <c r="E707" i="2"/>
  <c r="D707" i="2"/>
  <c r="C707" i="2"/>
  <c r="F707" i="2" s="1"/>
  <c r="B707" i="2"/>
  <c r="A707" i="2"/>
  <c r="L706" i="2"/>
  <c r="K706" i="2"/>
  <c r="J706" i="2"/>
  <c r="I706" i="2"/>
  <c r="H706" i="2"/>
  <c r="F706" i="2"/>
  <c r="E706" i="2"/>
  <c r="D706" i="2"/>
  <c r="C706" i="2"/>
  <c r="B706" i="2"/>
  <c r="A706" i="2"/>
  <c r="K705" i="2"/>
  <c r="J705" i="2"/>
  <c r="I705" i="2"/>
  <c r="L705" i="2" s="1"/>
  <c r="H705" i="2"/>
  <c r="F705" i="2"/>
  <c r="E705" i="2"/>
  <c r="D705" i="2"/>
  <c r="C705" i="2"/>
  <c r="B705" i="2"/>
  <c r="A705" i="2"/>
  <c r="K704" i="2"/>
  <c r="J704" i="2"/>
  <c r="I704" i="2"/>
  <c r="H704" i="2"/>
  <c r="L704" i="2" s="1"/>
  <c r="E704" i="2"/>
  <c r="D704" i="2"/>
  <c r="C704" i="2"/>
  <c r="F704" i="2" s="1"/>
  <c r="B704" i="2"/>
  <c r="G704" i="2" s="1"/>
  <c r="A704" i="2"/>
  <c r="K703" i="2"/>
  <c r="L703" i="2" s="1"/>
  <c r="J703" i="2"/>
  <c r="I703" i="2"/>
  <c r="H703" i="2"/>
  <c r="E703" i="2"/>
  <c r="F703" i="2" s="1"/>
  <c r="D703" i="2"/>
  <c r="C703" i="2"/>
  <c r="B703" i="2"/>
  <c r="A703" i="2"/>
  <c r="K702" i="2"/>
  <c r="J702" i="2"/>
  <c r="I702" i="2"/>
  <c r="H702" i="2"/>
  <c r="L702" i="2" s="1"/>
  <c r="E702" i="2"/>
  <c r="D702" i="2"/>
  <c r="C702" i="2"/>
  <c r="B702" i="2"/>
  <c r="A702" i="2"/>
  <c r="K701" i="2"/>
  <c r="J701" i="2"/>
  <c r="I701" i="2"/>
  <c r="H701" i="2"/>
  <c r="L701" i="2" s="1"/>
  <c r="G701" i="2"/>
  <c r="E701" i="2"/>
  <c r="D701" i="2"/>
  <c r="C701" i="2"/>
  <c r="F701" i="2" s="1"/>
  <c r="B701" i="2"/>
  <c r="A701" i="2"/>
  <c r="K700" i="2"/>
  <c r="J700" i="2"/>
  <c r="I700" i="2"/>
  <c r="H700" i="2"/>
  <c r="E700" i="2"/>
  <c r="D700" i="2"/>
  <c r="F700" i="2" s="1"/>
  <c r="G700" i="2" s="1"/>
  <c r="C700" i="2"/>
  <c r="B700" i="2"/>
  <c r="A700" i="2"/>
  <c r="K699" i="2"/>
  <c r="J699" i="2"/>
  <c r="I699" i="2"/>
  <c r="H699" i="2"/>
  <c r="L699" i="2" s="1"/>
  <c r="E699" i="2"/>
  <c r="D699" i="2"/>
  <c r="C699" i="2"/>
  <c r="B699" i="2"/>
  <c r="A699" i="2"/>
  <c r="K698" i="2"/>
  <c r="J698" i="2"/>
  <c r="L698" i="2" s="1"/>
  <c r="I698" i="2"/>
  <c r="H698" i="2"/>
  <c r="F698" i="2"/>
  <c r="G698" i="2" s="1"/>
  <c r="M698" i="2" s="1"/>
  <c r="E698" i="2"/>
  <c r="D698" i="2"/>
  <c r="C698" i="2"/>
  <c r="B698" i="2"/>
  <c r="A698" i="2"/>
  <c r="K697" i="2"/>
  <c r="J697" i="2"/>
  <c r="I697" i="2"/>
  <c r="H697" i="2"/>
  <c r="E697" i="2"/>
  <c r="D697" i="2"/>
  <c r="C697" i="2"/>
  <c r="F697" i="2" s="1"/>
  <c r="B697" i="2"/>
  <c r="G697" i="2" s="1"/>
  <c r="A697" i="2"/>
  <c r="L696" i="2"/>
  <c r="K696" i="2"/>
  <c r="J696" i="2"/>
  <c r="I696" i="2"/>
  <c r="H696" i="2"/>
  <c r="E696" i="2"/>
  <c r="D696" i="2"/>
  <c r="C696" i="2"/>
  <c r="F696" i="2" s="1"/>
  <c r="B696" i="2"/>
  <c r="A696" i="2"/>
  <c r="K695" i="2"/>
  <c r="J695" i="2"/>
  <c r="I695" i="2"/>
  <c r="L695" i="2" s="1"/>
  <c r="H695" i="2"/>
  <c r="F695" i="2"/>
  <c r="E695" i="2"/>
  <c r="D695" i="2"/>
  <c r="C695" i="2"/>
  <c r="B695" i="2"/>
  <c r="G695" i="2" s="1"/>
  <c r="A695" i="2"/>
  <c r="L694" i="2"/>
  <c r="K694" i="2"/>
  <c r="J694" i="2"/>
  <c r="I694" i="2"/>
  <c r="H694" i="2"/>
  <c r="E694" i="2"/>
  <c r="D694" i="2"/>
  <c r="C694" i="2"/>
  <c r="F694" i="2" s="1"/>
  <c r="B694" i="2"/>
  <c r="A694" i="2"/>
  <c r="L693" i="2"/>
  <c r="K693" i="2"/>
  <c r="J693" i="2"/>
  <c r="I693" i="2"/>
  <c r="H693" i="2"/>
  <c r="E693" i="2"/>
  <c r="F693" i="2" s="1"/>
  <c r="D693" i="2"/>
  <c r="C693" i="2"/>
  <c r="B693" i="2"/>
  <c r="G693" i="2" s="1"/>
  <c r="A693" i="2"/>
  <c r="K692" i="2"/>
  <c r="J692" i="2"/>
  <c r="I692" i="2"/>
  <c r="H692" i="2"/>
  <c r="L692" i="2" s="1"/>
  <c r="E692" i="2"/>
  <c r="D692" i="2"/>
  <c r="C692" i="2"/>
  <c r="B692" i="2"/>
  <c r="A692" i="2"/>
  <c r="K691" i="2"/>
  <c r="J691" i="2"/>
  <c r="I691" i="2"/>
  <c r="H691" i="2"/>
  <c r="L691" i="2" s="1"/>
  <c r="G691" i="2"/>
  <c r="E691" i="2"/>
  <c r="D691" i="2"/>
  <c r="C691" i="2"/>
  <c r="F691" i="2" s="1"/>
  <c r="B691" i="2"/>
  <c r="A691" i="2"/>
  <c r="K690" i="2"/>
  <c r="J690" i="2"/>
  <c r="L690" i="2" s="1"/>
  <c r="I690" i="2"/>
  <c r="H690" i="2"/>
  <c r="E690" i="2"/>
  <c r="D690" i="2"/>
  <c r="F690" i="2" s="1"/>
  <c r="G690" i="2" s="1"/>
  <c r="C690" i="2"/>
  <c r="B690" i="2"/>
  <c r="A690" i="2"/>
  <c r="K689" i="2"/>
  <c r="J689" i="2"/>
  <c r="I689" i="2"/>
  <c r="H689" i="2"/>
  <c r="L689" i="2" s="1"/>
  <c r="G689" i="2"/>
  <c r="M689" i="2" s="1"/>
  <c r="E689" i="2"/>
  <c r="D689" i="2"/>
  <c r="C689" i="2"/>
  <c r="F689" i="2" s="1"/>
  <c r="B689" i="2"/>
  <c r="A689" i="2"/>
  <c r="K688" i="2"/>
  <c r="J688" i="2"/>
  <c r="L688" i="2" s="1"/>
  <c r="I688" i="2"/>
  <c r="H688" i="2"/>
  <c r="G688" i="2"/>
  <c r="F688" i="2"/>
  <c r="E688" i="2"/>
  <c r="D688" i="2"/>
  <c r="C688" i="2"/>
  <c r="B688" i="2"/>
  <c r="A688" i="2"/>
  <c r="K687" i="2"/>
  <c r="J687" i="2"/>
  <c r="I687" i="2"/>
  <c r="H687" i="2"/>
  <c r="E687" i="2"/>
  <c r="D687" i="2"/>
  <c r="C687" i="2"/>
  <c r="F687" i="2" s="1"/>
  <c r="B687" i="2"/>
  <c r="A687" i="2"/>
  <c r="L686" i="2"/>
  <c r="K686" i="2"/>
  <c r="J686" i="2"/>
  <c r="I686" i="2"/>
  <c r="H686" i="2"/>
  <c r="E686" i="2"/>
  <c r="D686" i="2"/>
  <c r="C686" i="2"/>
  <c r="F686" i="2" s="1"/>
  <c r="B686" i="2"/>
  <c r="A686" i="2"/>
  <c r="K685" i="2"/>
  <c r="J685" i="2"/>
  <c r="I685" i="2"/>
  <c r="L685" i="2" s="1"/>
  <c r="H685" i="2"/>
  <c r="E685" i="2"/>
  <c r="F685" i="2" s="1"/>
  <c r="D685" i="2"/>
  <c r="C685" i="2"/>
  <c r="B685" i="2"/>
  <c r="A685" i="2"/>
  <c r="L684" i="2"/>
  <c r="K684" i="2"/>
  <c r="J684" i="2"/>
  <c r="I684" i="2"/>
  <c r="H684" i="2"/>
  <c r="E684" i="2"/>
  <c r="D684" i="2"/>
  <c r="C684" i="2"/>
  <c r="F684" i="2" s="1"/>
  <c r="B684" i="2"/>
  <c r="A684" i="2"/>
  <c r="L683" i="2"/>
  <c r="K683" i="2"/>
  <c r="J683" i="2"/>
  <c r="I683" i="2"/>
  <c r="H683" i="2"/>
  <c r="E683" i="2"/>
  <c r="F683" i="2" s="1"/>
  <c r="D683" i="2"/>
  <c r="C683" i="2"/>
  <c r="B683" i="2"/>
  <c r="A683" i="2"/>
  <c r="K682" i="2"/>
  <c r="J682" i="2"/>
  <c r="I682" i="2"/>
  <c r="H682" i="2"/>
  <c r="E682" i="2"/>
  <c r="D682" i="2"/>
  <c r="F682" i="2" s="1"/>
  <c r="G682" i="2" s="1"/>
  <c r="C682" i="2"/>
  <c r="B682" i="2"/>
  <c r="A682" i="2"/>
  <c r="L681" i="2"/>
  <c r="K681" i="2"/>
  <c r="J681" i="2"/>
  <c r="I681" i="2"/>
  <c r="H681" i="2"/>
  <c r="E681" i="2"/>
  <c r="D681" i="2"/>
  <c r="C681" i="2"/>
  <c r="F681" i="2" s="1"/>
  <c r="B681" i="2"/>
  <c r="G681" i="2" s="1"/>
  <c r="M681" i="2" s="1"/>
  <c r="A681" i="2"/>
  <c r="K680" i="2"/>
  <c r="J680" i="2"/>
  <c r="I680" i="2"/>
  <c r="H680" i="2"/>
  <c r="E680" i="2"/>
  <c r="D680" i="2"/>
  <c r="F680" i="2" s="1"/>
  <c r="G680" i="2" s="1"/>
  <c r="C680" i="2"/>
  <c r="B680" i="2"/>
  <c r="A680" i="2"/>
  <c r="K679" i="2"/>
  <c r="J679" i="2"/>
  <c r="I679" i="2"/>
  <c r="H679" i="2"/>
  <c r="E679" i="2"/>
  <c r="D679" i="2"/>
  <c r="C679" i="2"/>
  <c r="F679" i="2" s="1"/>
  <c r="G679" i="2" s="1"/>
  <c r="B679" i="2"/>
  <c r="A679" i="2"/>
  <c r="K678" i="2"/>
  <c r="J678" i="2"/>
  <c r="L678" i="2" s="1"/>
  <c r="I678" i="2"/>
  <c r="H678" i="2"/>
  <c r="G678" i="2"/>
  <c r="M678" i="2" s="1"/>
  <c r="F678" i="2"/>
  <c r="E678" i="2"/>
  <c r="D678" i="2"/>
  <c r="C678" i="2"/>
  <c r="B678" i="2"/>
  <c r="A678" i="2"/>
  <c r="K677" i="2"/>
  <c r="J677" i="2"/>
  <c r="I677" i="2"/>
  <c r="L677" i="2" s="1"/>
  <c r="H677" i="2"/>
  <c r="E677" i="2"/>
  <c r="D677" i="2"/>
  <c r="C677" i="2"/>
  <c r="B677" i="2"/>
  <c r="A677" i="2"/>
  <c r="K676" i="2"/>
  <c r="J676" i="2"/>
  <c r="I676" i="2"/>
  <c r="H676" i="2"/>
  <c r="L676" i="2" s="1"/>
  <c r="E676" i="2"/>
  <c r="D676" i="2"/>
  <c r="C676" i="2"/>
  <c r="F676" i="2" s="1"/>
  <c r="G676" i="2" s="1"/>
  <c r="M676" i="2" s="1"/>
  <c r="B676" i="2"/>
  <c r="A676" i="2"/>
  <c r="K675" i="2"/>
  <c r="J675" i="2"/>
  <c r="I675" i="2"/>
  <c r="H675" i="2"/>
  <c r="F675" i="2"/>
  <c r="E675" i="2"/>
  <c r="D675" i="2"/>
  <c r="C675" i="2"/>
  <c r="B675" i="2"/>
  <c r="G675" i="2" s="1"/>
  <c r="A675" i="2"/>
  <c r="L674" i="2"/>
  <c r="K674" i="2"/>
  <c r="J674" i="2"/>
  <c r="I674" i="2"/>
  <c r="H674" i="2"/>
  <c r="E674" i="2"/>
  <c r="D674" i="2"/>
  <c r="C674" i="2"/>
  <c r="B674" i="2"/>
  <c r="A674" i="2"/>
  <c r="K673" i="2"/>
  <c r="L673" i="2" s="1"/>
  <c r="J673" i="2"/>
  <c r="I673" i="2"/>
  <c r="H673" i="2"/>
  <c r="F673" i="2"/>
  <c r="E673" i="2"/>
  <c r="D673" i="2"/>
  <c r="C673" i="2"/>
  <c r="B673" i="2"/>
  <c r="G673" i="2" s="1"/>
  <c r="M673" i="2" s="1"/>
  <c r="A673" i="2"/>
  <c r="K672" i="2"/>
  <c r="J672" i="2"/>
  <c r="I672" i="2"/>
  <c r="H672" i="2"/>
  <c r="L672" i="2" s="1"/>
  <c r="E672" i="2"/>
  <c r="D672" i="2"/>
  <c r="C672" i="2"/>
  <c r="B672" i="2"/>
  <c r="A672" i="2"/>
  <c r="L671" i="2"/>
  <c r="K671" i="2"/>
  <c r="J671" i="2"/>
  <c r="I671" i="2"/>
  <c r="H671" i="2"/>
  <c r="E671" i="2"/>
  <c r="D671" i="2"/>
  <c r="C671" i="2"/>
  <c r="F671" i="2" s="1"/>
  <c r="B671" i="2"/>
  <c r="G671" i="2" s="1"/>
  <c r="M671" i="2" s="1"/>
  <c r="A671" i="2"/>
  <c r="K670" i="2"/>
  <c r="J670" i="2"/>
  <c r="I670" i="2"/>
  <c r="H670" i="2"/>
  <c r="E670" i="2"/>
  <c r="D670" i="2"/>
  <c r="C670" i="2"/>
  <c r="B670" i="2"/>
  <c r="A670" i="2"/>
  <c r="K669" i="2"/>
  <c r="J669" i="2"/>
  <c r="I669" i="2"/>
  <c r="H669" i="2"/>
  <c r="L669" i="2" s="1"/>
  <c r="E669" i="2"/>
  <c r="D669" i="2"/>
  <c r="C669" i="2"/>
  <c r="B669" i="2"/>
  <c r="A669" i="2"/>
  <c r="K668" i="2"/>
  <c r="J668" i="2"/>
  <c r="L668" i="2" s="1"/>
  <c r="I668" i="2"/>
  <c r="H668" i="2"/>
  <c r="G668" i="2"/>
  <c r="M668" i="2" s="1"/>
  <c r="F668" i="2"/>
  <c r="E668" i="2"/>
  <c r="D668" i="2"/>
  <c r="C668" i="2"/>
  <c r="B668" i="2"/>
  <c r="A668" i="2"/>
  <c r="K667" i="2"/>
  <c r="J667" i="2"/>
  <c r="I667" i="2"/>
  <c r="L667" i="2" s="1"/>
  <c r="H667" i="2"/>
  <c r="E667" i="2"/>
  <c r="D667" i="2"/>
  <c r="C667" i="2"/>
  <c r="F667" i="2" s="1"/>
  <c r="B667" i="2"/>
  <c r="A667" i="2"/>
  <c r="M666" i="2"/>
  <c r="L666" i="2"/>
  <c r="K666" i="2"/>
  <c r="J666" i="2"/>
  <c r="I666" i="2"/>
  <c r="H666" i="2"/>
  <c r="E666" i="2"/>
  <c r="D666" i="2"/>
  <c r="C666" i="2"/>
  <c r="F666" i="2" s="1"/>
  <c r="B666" i="2"/>
  <c r="G666" i="2" s="1"/>
  <c r="A666" i="2"/>
  <c r="L665" i="2"/>
  <c r="K665" i="2"/>
  <c r="J665" i="2"/>
  <c r="I665" i="2"/>
  <c r="H665" i="2"/>
  <c r="E665" i="2"/>
  <c r="F665" i="2" s="1"/>
  <c r="D665" i="2"/>
  <c r="C665" i="2"/>
  <c r="B665" i="2"/>
  <c r="G665" i="2" s="1"/>
  <c r="M665" i="2" s="1"/>
  <c r="A665" i="2"/>
  <c r="K664" i="2"/>
  <c r="J664" i="2"/>
  <c r="I664" i="2"/>
  <c r="H664" i="2"/>
  <c r="L664" i="2" s="1"/>
  <c r="E664" i="2"/>
  <c r="D664" i="2"/>
  <c r="C664" i="2"/>
  <c r="F664" i="2" s="1"/>
  <c r="B664" i="2"/>
  <c r="A664" i="2"/>
  <c r="K663" i="2"/>
  <c r="J663" i="2"/>
  <c r="I663" i="2"/>
  <c r="H663" i="2"/>
  <c r="L663" i="2" s="1"/>
  <c r="E663" i="2"/>
  <c r="F663" i="2" s="1"/>
  <c r="G663" i="2" s="1"/>
  <c r="M663" i="2" s="1"/>
  <c r="D663" i="2"/>
  <c r="C663" i="2"/>
  <c r="B663" i="2"/>
  <c r="A663" i="2"/>
  <c r="K662" i="2"/>
  <c r="J662" i="2"/>
  <c r="I662" i="2"/>
  <c r="H662" i="2"/>
  <c r="L662" i="2" s="1"/>
  <c r="E662" i="2"/>
  <c r="D662" i="2"/>
  <c r="F662" i="2" s="1"/>
  <c r="G662" i="2" s="1"/>
  <c r="M662" i="2" s="1"/>
  <c r="C662" i="2"/>
  <c r="B662" i="2"/>
  <c r="A662" i="2"/>
  <c r="K661" i="2"/>
  <c r="J661" i="2"/>
  <c r="I661" i="2"/>
  <c r="H661" i="2"/>
  <c r="L661" i="2" s="1"/>
  <c r="E661" i="2"/>
  <c r="D661" i="2"/>
  <c r="C661" i="2"/>
  <c r="B661" i="2"/>
  <c r="A661" i="2"/>
  <c r="K660" i="2"/>
  <c r="J660" i="2"/>
  <c r="L660" i="2" s="1"/>
  <c r="I660" i="2"/>
  <c r="H660" i="2"/>
  <c r="G660" i="2"/>
  <c r="M660" i="2" s="1"/>
  <c r="F660" i="2"/>
  <c r="E660" i="2"/>
  <c r="D660" i="2"/>
  <c r="C660" i="2"/>
  <c r="B660" i="2"/>
  <c r="A660" i="2"/>
  <c r="K659" i="2"/>
  <c r="J659" i="2"/>
  <c r="I659" i="2"/>
  <c r="H659" i="2"/>
  <c r="E659" i="2"/>
  <c r="D659" i="2"/>
  <c r="C659" i="2"/>
  <c r="F659" i="2" s="1"/>
  <c r="G659" i="2" s="1"/>
  <c r="B659" i="2"/>
  <c r="A659" i="2"/>
  <c r="K658" i="2"/>
  <c r="L658" i="2" s="1"/>
  <c r="J658" i="2"/>
  <c r="I658" i="2"/>
  <c r="H658" i="2"/>
  <c r="E658" i="2"/>
  <c r="D658" i="2"/>
  <c r="C658" i="2"/>
  <c r="F658" i="2" s="1"/>
  <c r="B658" i="2"/>
  <c r="G658" i="2" s="1"/>
  <c r="A658" i="2"/>
  <c r="K657" i="2"/>
  <c r="J657" i="2"/>
  <c r="I657" i="2"/>
  <c r="L657" i="2" s="1"/>
  <c r="H657" i="2"/>
  <c r="E657" i="2"/>
  <c r="D657" i="2"/>
  <c r="C657" i="2"/>
  <c r="F657" i="2" s="1"/>
  <c r="B657" i="2"/>
  <c r="A657" i="2"/>
  <c r="K656" i="2"/>
  <c r="J656" i="2"/>
  <c r="I656" i="2"/>
  <c r="H656" i="2"/>
  <c r="L656" i="2" s="1"/>
  <c r="G656" i="2"/>
  <c r="M656" i="2" s="1"/>
  <c r="F656" i="2"/>
  <c r="E656" i="2"/>
  <c r="D656" i="2"/>
  <c r="C656" i="2"/>
  <c r="B656" i="2"/>
  <c r="A656" i="2"/>
  <c r="K655" i="2"/>
  <c r="J655" i="2"/>
  <c r="I655" i="2"/>
  <c r="L655" i="2" s="1"/>
  <c r="H655" i="2"/>
  <c r="G655" i="2"/>
  <c r="M655" i="2" s="1"/>
  <c r="F655" i="2"/>
  <c r="E655" i="2"/>
  <c r="D655" i="2"/>
  <c r="C655" i="2"/>
  <c r="B655" i="2"/>
  <c r="A655" i="2"/>
  <c r="L654" i="2"/>
  <c r="K654" i="2"/>
  <c r="J654" i="2"/>
  <c r="I654" i="2"/>
  <c r="H654" i="2"/>
  <c r="E654" i="2"/>
  <c r="D654" i="2"/>
  <c r="C654" i="2"/>
  <c r="F654" i="2" s="1"/>
  <c r="B654" i="2"/>
  <c r="A654" i="2"/>
  <c r="K653" i="2"/>
  <c r="L653" i="2" s="1"/>
  <c r="J653" i="2"/>
  <c r="I653" i="2"/>
  <c r="H653" i="2"/>
  <c r="E653" i="2"/>
  <c r="D653" i="2"/>
  <c r="C653" i="2"/>
  <c r="F653" i="2" s="1"/>
  <c r="B653" i="2"/>
  <c r="A653" i="2"/>
  <c r="K652" i="2"/>
  <c r="J652" i="2"/>
  <c r="I652" i="2"/>
  <c r="H652" i="2"/>
  <c r="E652" i="2"/>
  <c r="D652" i="2"/>
  <c r="F652" i="2" s="1"/>
  <c r="G652" i="2" s="1"/>
  <c r="C652" i="2"/>
  <c r="B652" i="2"/>
  <c r="A652" i="2"/>
  <c r="K651" i="2"/>
  <c r="J651" i="2"/>
  <c r="I651" i="2"/>
  <c r="H651" i="2"/>
  <c r="L651" i="2" s="1"/>
  <c r="E651" i="2"/>
  <c r="D651" i="2"/>
  <c r="C651" i="2"/>
  <c r="F651" i="2" s="1"/>
  <c r="B651" i="2"/>
  <c r="A651" i="2"/>
  <c r="K650" i="2"/>
  <c r="J650" i="2"/>
  <c r="L650" i="2" s="1"/>
  <c r="I650" i="2"/>
  <c r="H650" i="2"/>
  <c r="E650" i="2"/>
  <c r="F650" i="2" s="1"/>
  <c r="G650" i="2" s="1"/>
  <c r="M650" i="2" s="1"/>
  <c r="D650" i="2"/>
  <c r="C650" i="2"/>
  <c r="B650" i="2"/>
  <c r="A650" i="2"/>
  <c r="K649" i="2"/>
  <c r="J649" i="2"/>
  <c r="I649" i="2"/>
  <c r="H649" i="2"/>
  <c r="E649" i="2"/>
  <c r="D649" i="2"/>
  <c r="C649" i="2"/>
  <c r="B649" i="2"/>
  <c r="A649" i="2"/>
  <c r="K648" i="2"/>
  <c r="J648" i="2"/>
  <c r="I648" i="2"/>
  <c r="H648" i="2"/>
  <c r="E648" i="2"/>
  <c r="D648" i="2"/>
  <c r="C648" i="2"/>
  <c r="F648" i="2" s="1"/>
  <c r="B648" i="2"/>
  <c r="G648" i="2" s="1"/>
  <c r="A648" i="2"/>
  <c r="K647" i="2"/>
  <c r="J647" i="2"/>
  <c r="I647" i="2"/>
  <c r="H647" i="2"/>
  <c r="E647" i="2"/>
  <c r="D647" i="2"/>
  <c r="C647" i="2"/>
  <c r="F647" i="2" s="1"/>
  <c r="B647" i="2"/>
  <c r="A647" i="2"/>
  <c r="L646" i="2"/>
  <c r="K646" i="2"/>
  <c r="J646" i="2"/>
  <c r="I646" i="2"/>
  <c r="H646" i="2"/>
  <c r="E646" i="2"/>
  <c r="D646" i="2"/>
  <c r="C646" i="2"/>
  <c r="F646" i="2" s="1"/>
  <c r="B646" i="2"/>
  <c r="G646" i="2" s="1"/>
  <c r="M646" i="2" s="1"/>
  <c r="A646" i="2"/>
  <c r="K645" i="2"/>
  <c r="J645" i="2"/>
  <c r="I645" i="2"/>
  <c r="L645" i="2" s="1"/>
  <c r="H645" i="2"/>
  <c r="E645" i="2"/>
  <c r="F645" i="2" s="1"/>
  <c r="G645" i="2" s="1"/>
  <c r="M645" i="2" s="1"/>
  <c r="D645" i="2"/>
  <c r="C645" i="2"/>
  <c r="B645" i="2"/>
  <c r="A645" i="2"/>
  <c r="K644" i="2"/>
  <c r="J644" i="2"/>
  <c r="I644" i="2"/>
  <c r="H644" i="2"/>
  <c r="L644" i="2" s="1"/>
  <c r="E644" i="2"/>
  <c r="D644" i="2"/>
  <c r="C644" i="2"/>
  <c r="B644" i="2"/>
  <c r="A644" i="2"/>
  <c r="K643" i="2"/>
  <c r="J643" i="2"/>
  <c r="I643" i="2"/>
  <c r="H643" i="2"/>
  <c r="L643" i="2" s="1"/>
  <c r="E643" i="2"/>
  <c r="D643" i="2"/>
  <c r="C643" i="2"/>
  <c r="F643" i="2" s="1"/>
  <c r="B643" i="2"/>
  <c r="G643" i="2" s="1"/>
  <c r="A643" i="2"/>
  <c r="K642" i="2"/>
  <c r="J642" i="2"/>
  <c r="I642" i="2"/>
  <c r="H642" i="2"/>
  <c r="E642" i="2"/>
  <c r="D642" i="2"/>
  <c r="F642" i="2" s="1"/>
  <c r="G642" i="2" s="1"/>
  <c r="C642" i="2"/>
  <c r="B642" i="2"/>
  <c r="A642" i="2"/>
  <c r="L641" i="2"/>
  <c r="K641" i="2"/>
  <c r="J641" i="2"/>
  <c r="I641" i="2"/>
  <c r="H641" i="2"/>
  <c r="E641" i="2"/>
  <c r="D641" i="2"/>
  <c r="C641" i="2"/>
  <c r="F641" i="2" s="1"/>
  <c r="B641" i="2"/>
  <c r="G641" i="2" s="1"/>
  <c r="M641" i="2" s="1"/>
  <c r="A641" i="2"/>
  <c r="L640" i="2"/>
  <c r="K640" i="2"/>
  <c r="J640" i="2"/>
  <c r="I640" i="2"/>
  <c r="H640" i="2"/>
  <c r="E640" i="2"/>
  <c r="D640" i="2"/>
  <c r="C640" i="2"/>
  <c r="B640" i="2"/>
  <c r="A640" i="2"/>
  <c r="K639" i="2"/>
  <c r="J639" i="2"/>
  <c r="I639" i="2"/>
  <c r="H639" i="2"/>
  <c r="L639" i="2" s="1"/>
  <c r="E639" i="2"/>
  <c r="D639" i="2"/>
  <c r="C639" i="2"/>
  <c r="B639" i="2"/>
  <c r="A639" i="2"/>
  <c r="K638" i="2"/>
  <c r="J638" i="2"/>
  <c r="I638" i="2"/>
  <c r="H638" i="2"/>
  <c r="L638" i="2" s="1"/>
  <c r="G638" i="2"/>
  <c r="M638" i="2" s="1"/>
  <c r="F638" i="2"/>
  <c r="E638" i="2"/>
  <c r="D638" i="2"/>
  <c r="C638" i="2"/>
  <c r="B638" i="2"/>
  <c r="A638" i="2"/>
  <c r="K637" i="2"/>
  <c r="J637" i="2"/>
  <c r="I637" i="2"/>
  <c r="H637" i="2"/>
  <c r="E637" i="2"/>
  <c r="D637" i="2"/>
  <c r="C637" i="2"/>
  <c r="F637" i="2" s="1"/>
  <c r="B637" i="2"/>
  <c r="A637" i="2"/>
  <c r="L636" i="2"/>
  <c r="K636" i="2"/>
  <c r="J636" i="2"/>
  <c r="I636" i="2"/>
  <c r="H636" i="2"/>
  <c r="E636" i="2"/>
  <c r="D636" i="2"/>
  <c r="C636" i="2"/>
  <c r="F636" i="2" s="1"/>
  <c r="B636" i="2"/>
  <c r="A636" i="2"/>
  <c r="L635" i="2"/>
  <c r="K635" i="2"/>
  <c r="J635" i="2"/>
  <c r="I635" i="2"/>
  <c r="H635" i="2"/>
  <c r="E635" i="2"/>
  <c r="F635" i="2" s="1"/>
  <c r="D635" i="2"/>
  <c r="C635" i="2"/>
  <c r="B635" i="2"/>
  <c r="G635" i="2" s="1"/>
  <c r="M635" i="2" s="1"/>
  <c r="A635" i="2"/>
  <c r="K634" i="2"/>
  <c r="J634" i="2"/>
  <c r="I634" i="2"/>
  <c r="H634" i="2"/>
  <c r="L634" i="2" s="1"/>
  <c r="E634" i="2"/>
  <c r="D634" i="2"/>
  <c r="C634" i="2"/>
  <c r="B634" i="2"/>
  <c r="A634" i="2"/>
  <c r="K633" i="2"/>
  <c r="J633" i="2"/>
  <c r="I633" i="2"/>
  <c r="H633" i="2"/>
  <c r="L633" i="2" s="1"/>
  <c r="G633" i="2"/>
  <c r="M633" i="2" s="1"/>
  <c r="F633" i="2"/>
  <c r="E633" i="2"/>
  <c r="D633" i="2"/>
  <c r="C633" i="2"/>
  <c r="B633" i="2"/>
  <c r="A633" i="2"/>
  <c r="K632" i="2"/>
  <c r="J632" i="2"/>
  <c r="I632" i="2"/>
  <c r="H632" i="2"/>
  <c r="L632" i="2" s="1"/>
  <c r="E632" i="2"/>
  <c r="D632" i="2"/>
  <c r="F632" i="2" s="1"/>
  <c r="G632" i="2" s="1"/>
  <c r="C632" i="2"/>
  <c r="B632" i="2"/>
  <c r="A632" i="2"/>
  <c r="K631" i="2"/>
  <c r="L631" i="2" s="1"/>
  <c r="M631" i="2" s="1"/>
  <c r="J631" i="2"/>
  <c r="I631" i="2"/>
  <c r="H631" i="2"/>
  <c r="E631" i="2"/>
  <c r="D631" i="2"/>
  <c r="C631" i="2"/>
  <c r="F631" i="2" s="1"/>
  <c r="B631" i="2"/>
  <c r="G631" i="2" s="1"/>
  <c r="A631" i="2"/>
  <c r="L630" i="2"/>
  <c r="K630" i="2"/>
  <c r="J630" i="2"/>
  <c r="I630" i="2"/>
  <c r="H630" i="2"/>
  <c r="E630" i="2"/>
  <c r="D630" i="2"/>
  <c r="C630" i="2"/>
  <c r="B630" i="2"/>
  <c r="A630" i="2"/>
  <c r="K629" i="2"/>
  <c r="J629" i="2"/>
  <c r="I629" i="2"/>
  <c r="H629" i="2"/>
  <c r="L629" i="2" s="1"/>
  <c r="E629" i="2"/>
  <c r="F629" i="2" s="1"/>
  <c r="G629" i="2" s="1"/>
  <c r="M629" i="2" s="1"/>
  <c r="D629" i="2"/>
  <c r="C629" i="2"/>
  <c r="B629" i="2"/>
  <c r="A629" i="2"/>
  <c r="K628" i="2"/>
  <c r="J628" i="2"/>
  <c r="I628" i="2"/>
  <c r="H628" i="2"/>
  <c r="E628" i="2"/>
  <c r="D628" i="2"/>
  <c r="C628" i="2"/>
  <c r="F628" i="2" s="1"/>
  <c r="G628" i="2" s="1"/>
  <c r="B628" i="2"/>
  <c r="A628" i="2"/>
  <c r="K627" i="2"/>
  <c r="L627" i="2" s="1"/>
  <c r="J627" i="2"/>
  <c r="I627" i="2"/>
  <c r="H627" i="2"/>
  <c r="E627" i="2"/>
  <c r="D627" i="2"/>
  <c r="C627" i="2"/>
  <c r="F627" i="2" s="1"/>
  <c r="B627" i="2"/>
  <c r="A627" i="2"/>
  <c r="L626" i="2"/>
  <c r="K626" i="2"/>
  <c r="J626" i="2"/>
  <c r="I626" i="2"/>
  <c r="H626" i="2"/>
  <c r="E626" i="2"/>
  <c r="D626" i="2"/>
  <c r="C626" i="2"/>
  <c r="B626" i="2"/>
  <c r="A626" i="2"/>
  <c r="K625" i="2"/>
  <c r="J625" i="2"/>
  <c r="I625" i="2"/>
  <c r="H625" i="2"/>
  <c r="L625" i="2" s="1"/>
  <c r="E625" i="2"/>
  <c r="F625" i="2" s="1"/>
  <c r="G625" i="2" s="1"/>
  <c r="M625" i="2" s="1"/>
  <c r="D625" i="2"/>
  <c r="C625" i="2"/>
  <c r="B625" i="2"/>
  <c r="A625" i="2"/>
  <c r="K624" i="2"/>
  <c r="J624" i="2"/>
  <c r="I624" i="2"/>
  <c r="H624" i="2"/>
  <c r="L624" i="2" s="1"/>
  <c r="E624" i="2"/>
  <c r="D624" i="2"/>
  <c r="C624" i="2"/>
  <c r="B624" i="2"/>
  <c r="A624" i="2"/>
  <c r="K623" i="2"/>
  <c r="J623" i="2"/>
  <c r="I623" i="2"/>
  <c r="H623" i="2"/>
  <c r="E623" i="2"/>
  <c r="D623" i="2"/>
  <c r="C623" i="2"/>
  <c r="F623" i="2" s="1"/>
  <c r="B623" i="2"/>
  <c r="A623" i="2"/>
  <c r="K622" i="2"/>
  <c r="J622" i="2"/>
  <c r="I622" i="2"/>
  <c r="H622" i="2"/>
  <c r="F622" i="2"/>
  <c r="G622" i="2" s="1"/>
  <c r="E622" i="2"/>
  <c r="D622" i="2"/>
  <c r="C622" i="2"/>
  <c r="B622" i="2"/>
  <c r="A622" i="2"/>
  <c r="L621" i="2"/>
  <c r="K621" i="2"/>
  <c r="J621" i="2"/>
  <c r="I621" i="2"/>
  <c r="H621" i="2"/>
  <c r="E621" i="2"/>
  <c r="D621" i="2"/>
  <c r="C621" i="2"/>
  <c r="B621" i="2"/>
  <c r="A621" i="2"/>
  <c r="K620" i="2"/>
  <c r="J620" i="2"/>
  <c r="L620" i="2" s="1"/>
  <c r="I620" i="2"/>
  <c r="H620" i="2"/>
  <c r="E620" i="2"/>
  <c r="F620" i="2" s="1"/>
  <c r="G620" i="2" s="1"/>
  <c r="D620" i="2"/>
  <c r="C620" i="2"/>
  <c r="B620" i="2"/>
  <c r="A620" i="2"/>
  <c r="K619" i="2"/>
  <c r="J619" i="2"/>
  <c r="I619" i="2"/>
  <c r="H619" i="2"/>
  <c r="L619" i="2" s="1"/>
  <c r="G619" i="2"/>
  <c r="F619" i="2"/>
  <c r="E619" i="2"/>
  <c r="D619" i="2"/>
  <c r="C619" i="2"/>
  <c r="B619" i="2"/>
  <c r="A619" i="2"/>
  <c r="K618" i="2"/>
  <c r="J618" i="2"/>
  <c r="L618" i="2" s="1"/>
  <c r="I618" i="2"/>
  <c r="H618" i="2"/>
  <c r="E618" i="2"/>
  <c r="D618" i="2"/>
  <c r="C618" i="2"/>
  <c r="F618" i="2" s="1"/>
  <c r="B618" i="2"/>
  <c r="G618" i="2" s="1"/>
  <c r="A618" i="2"/>
  <c r="L617" i="2"/>
  <c r="K617" i="2"/>
  <c r="J617" i="2"/>
  <c r="I617" i="2"/>
  <c r="H617" i="2"/>
  <c r="E617" i="2"/>
  <c r="D617" i="2"/>
  <c r="C617" i="2"/>
  <c r="F617" i="2" s="1"/>
  <c r="B617" i="2"/>
  <c r="G617" i="2" s="1"/>
  <c r="M617" i="2" s="1"/>
  <c r="A617" i="2"/>
  <c r="K616" i="2"/>
  <c r="J616" i="2"/>
  <c r="I616" i="2"/>
  <c r="H616" i="2"/>
  <c r="L616" i="2" s="1"/>
  <c r="F616" i="2"/>
  <c r="G616" i="2" s="1"/>
  <c r="M616" i="2" s="1"/>
  <c r="E616" i="2"/>
  <c r="D616" i="2"/>
  <c r="C616" i="2"/>
  <c r="B616" i="2"/>
  <c r="A616" i="2"/>
  <c r="K615" i="2"/>
  <c r="J615" i="2"/>
  <c r="I615" i="2"/>
  <c r="H615" i="2"/>
  <c r="G615" i="2"/>
  <c r="F615" i="2"/>
  <c r="E615" i="2"/>
  <c r="D615" i="2"/>
  <c r="C615" i="2"/>
  <c r="B615" i="2"/>
  <c r="A615" i="2"/>
  <c r="K614" i="2"/>
  <c r="J614" i="2"/>
  <c r="L614" i="2" s="1"/>
  <c r="I614" i="2"/>
  <c r="H614" i="2"/>
  <c r="E614" i="2"/>
  <c r="D614" i="2"/>
  <c r="C614" i="2"/>
  <c r="B614" i="2"/>
  <c r="A614" i="2"/>
  <c r="L613" i="2"/>
  <c r="K613" i="2"/>
  <c r="J613" i="2"/>
  <c r="I613" i="2"/>
  <c r="H613" i="2"/>
  <c r="E613" i="2"/>
  <c r="D613" i="2"/>
  <c r="C613" i="2"/>
  <c r="F613" i="2" s="1"/>
  <c r="B613" i="2"/>
  <c r="G613" i="2" s="1"/>
  <c r="M613" i="2" s="1"/>
  <c r="A613" i="2"/>
  <c r="K612" i="2"/>
  <c r="J612" i="2"/>
  <c r="I612" i="2"/>
  <c r="H612" i="2"/>
  <c r="E612" i="2"/>
  <c r="D612" i="2"/>
  <c r="F612" i="2" s="1"/>
  <c r="G612" i="2" s="1"/>
  <c r="C612" i="2"/>
  <c r="B612" i="2"/>
  <c r="A612" i="2"/>
  <c r="K611" i="2"/>
  <c r="J611" i="2"/>
  <c r="I611" i="2"/>
  <c r="H611" i="2"/>
  <c r="L611" i="2" s="1"/>
  <c r="E611" i="2"/>
  <c r="D611" i="2"/>
  <c r="C611" i="2"/>
  <c r="B611" i="2"/>
  <c r="A611" i="2"/>
  <c r="K610" i="2"/>
  <c r="J610" i="2"/>
  <c r="L610" i="2" s="1"/>
  <c r="I610" i="2"/>
  <c r="H610" i="2"/>
  <c r="G610" i="2"/>
  <c r="F610" i="2"/>
  <c r="E610" i="2"/>
  <c r="D610" i="2"/>
  <c r="C610" i="2"/>
  <c r="B610" i="2"/>
  <c r="A610" i="2"/>
  <c r="K609" i="2"/>
  <c r="J609" i="2"/>
  <c r="I609" i="2"/>
  <c r="H609" i="2"/>
  <c r="E609" i="2"/>
  <c r="D609" i="2"/>
  <c r="C609" i="2"/>
  <c r="F609" i="2" s="1"/>
  <c r="G609" i="2" s="1"/>
  <c r="B609" i="2"/>
  <c r="A609" i="2"/>
  <c r="L608" i="2"/>
  <c r="K608" i="2"/>
  <c r="J608" i="2"/>
  <c r="I608" i="2"/>
  <c r="H608" i="2"/>
  <c r="E608" i="2"/>
  <c r="D608" i="2"/>
  <c r="C608" i="2"/>
  <c r="F608" i="2" s="1"/>
  <c r="B608" i="2"/>
  <c r="G608" i="2" s="1"/>
  <c r="M608" i="2" s="1"/>
  <c r="A608" i="2"/>
  <c r="K607" i="2"/>
  <c r="J607" i="2"/>
  <c r="I607" i="2"/>
  <c r="L607" i="2" s="1"/>
  <c r="H607" i="2"/>
  <c r="E607" i="2"/>
  <c r="F607" i="2" s="1"/>
  <c r="D607" i="2"/>
  <c r="C607" i="2"/>
  <c r="B607" i="2"/>
  <c r="A607" i="2"/>
  <c r="K606" i="2"/>
  <c r="J606" i="2"/>
  <c r="I606" i="2"/>
  <c r="H606" i="2"/>
  <c r="G606" i="2"/>
  <c r="F606" i="2"/>
  <c r="E606" i="2"/>
  <c r="D606" i="2"/>
  <c r="C606" i="2"/>
  <c r="B606" i="2"/>
  <c r="A606" i="2"/>
  <c r="K605" i="2"/>
  <c r="J605" i="2"/>
  <c r="I605" i="2"/>
  <c r="H605" i="2"/>
  <c r="E605" i="2"/>
  <c r="F605" i="2" s="1"/>
  <c r="D605" i="2"/>
  <c r="C605" i="2"/>
  <c r="B605" i="2"/>
  <c r="A605" i="2"/>
  <c r="M604" i="2"/>
  <c r="L604" i="2"/>
  <c r="K604" i="2"/>
  <c r="J604" i="2"/>
  <c r="I604" i="2"/>
  <c r="H604" i="2"/>
  <c r="E604" i="2"/>
  <c r="D604" i="2"/>
  <c r="C604" i="2"/>
  <c r="F604" i="2" s="1"/>
  <c r="B604" i="2"/>
  <c r="G604" i="2" s="1"/>
  <c r="A604" i="2"/>
  <c r="L603" i="2"/>
  <c r="K603" i="2"/>
  <c r="J603" i="2"/>
  <c r="I603" i="2"/>
  <c r="H603" i="2"/>
  <c r="E603" i="2"/>
  <c r="D603" i="2"/>
  <c r="C603" i="2"/>
  <c r="B603" i="2"/>
  <c r="A603" i="2"/>
  <c r="K602" i="2"/>
  <c r="J602" i="2"/>
  <c r="I602" i="2"/>
  <c r="H602" i="2"/>
  <c r="E602" i="2"/>
  <c r="D602" i="2"/>
  <c r="F602" i="2" s="1"/>
  <c r="G602" i="2" s="1"/>
  <c r="C602" i="2"/>
  <c r="B602" i="2"/>
  <c r="A602" i="2"/>
  <c r="K601" i="2"/>
  <c r="J601" i="2"/>
  <c r="I601" i="2"/>
  <c r="H601" i="2"/>
  <c r="L601" i="2" s="1"/>
  <c r="E601" i="2"/>
  <c r="D601" i="2"/>
  <c r="C601" i="2"/>
  <c r="B601" i="2"/>
  <c r="A601" i="2"/>
  <c r="K600" i="2"/>
  <c r="J600" i="2"/>
  <c r="I600" i="2"/>
  <c r="H600" i="2"/>
  <c r="E600" i="2"/>
  <c r="D600" i="2"/>
  <c r="C600" i="2"/>
  <c r="F600" i="2" s="1"/>
  <c r="B600" i="2"/>
  <c r="A600" i="2"/>
  <c r="K599" i="2"/>
  <c r="J599" i="2"/>
  <c r="I599" i="2"/>
  <c r="H599" i="2"/>
  <c r="E599" i="2"/>
  <c r="D599" i="2"/>
  <c r="C599" i="2"/>
  <c r="F599" i="2" s="1"/>
  <c r="G599" i="2" s="1"/>
  <c r="B599" i="2"/>
  <c r="A599" i="2"/>
  <c r="K598" i="2"/>
  <c r="J598" i="2"/>
  <c r="I598" i="2"/>
  <c r="H598" i="2"/>
  <c r="L598" i="2" s="1"/>
  <c r="F598" i="2"/>
  <c r="G598" i="2" s="1"/>
  <c r="M598" i="2" s="1"/>
  <c r="E598" i="2"/>
  <c r="D598" i="2"/>
  <c r="C598" i="2"/>
  <c r="B598" i="2"/>
  <c r="A598" i="2"/>
  <c r="K597" i="2"/>
  <c r="J597" i="2"/>
  <c r="I597" i="2"/>
  <c r="L597" i="2" s="1"/>
  <c r="H597" i="2"/>
  <c r="F597" i="2"/>
  <c r="E597" i="2"/>
  <c r="D597" i="2"/>
  <c r="C597" i="2"/>
  <c r="B597" i="2"/>
  <c r="A597" i="2"/>
  <c r="K596" i="2"/>
  <c r="J596" i="2"/>
  <c r="I596" i="2"/>
  <c r="H596" i="2"/>
  <c r="L596" i="2" s="1"/>
  <c r="E596" i="2"/>
  <c r="D596" i="2"/>
  <c r="C596" i="2"/>
  <c r="F596" i="2" s="1"/>
  <c r="B596" i="2"/>
  <c r="G596" i="2" s="1"/>
  <c r="A596" i="2"/>
  <c r="L595" i="2"/>
  <c r="K595" i="2"/>
  <c r="J595" i="2"/>
  <c r="I595" i="2"/>
  <c r="H595" i="2"/>
  <c r="F595" i="2"/>
  <c r="E595" i="2"/>
  <c r="D595" i="2"/>
  <c r="C595" i="2"/>
  <c r="B595" i="2"/>
  <c r="G595" i="2" s="1"/>
  <c r="A595" i="2"/>
  <c r="K594" i="2"/>
  <c r="J594" i="2"/>
  <c r="I594" i="2"/>
  <c r="H594" i="2"/>
  <c r="L594" i="2" s="1"/>
  <c r="E594" i="2"/>
  <c r="D594" i="2"/>
  <c r="C594" i="2"/>
  <c r="F594" i="2" s="1"/>
  <c r="B594" i="2"/>
  <c r="G594" i="2" s="1"/>
  <c r="A594" i="2"/>
  <c r="K593" i="2"/>
  <c r="J593" i="2"/>
  <c r="I593" i="2"/>
  <c r="H593" i="2"/>
  <c r="L593" i="2" s="1"/>
  <c r="F593" i="2"/>
  <c r="G593" i="2" s="1"/>
  <c r="M593" i="2" s="1"/>
  <c r="E593" i="2"/>
  <c r="D593" i="2"/>
  <c r="C593" i="2"/>
  <c r="B593" i="2"/>
  <c r="A593" i="2"/>
  <c r="K592" i="2"/>
  <c r="J592" i="2"/>
  <c r="I592" i="2"/>
  <c r="H592" i="2"/>
  <c r="L592" i="2" s="1"/>
  <c r="G592" i="2"/>
  <c r="M592" i="2" s="1"/>
  <c r="F592" i="2"/>
  <c r="E592" i="2"/>
  <c r="D592" i="2"/>
  <c r="C592" i="2"/>
  <c r="B592" i="2"/>
  <c r="A592" i="2"/>
  <c r="K591" i="2"/>
  <c r="J591" i="2"/>
  <c r="I591" i="2"/>
  <c r="H591" i="2"/>
  <c r="L591" i="2" s="1"/>
  <c r="E591" i="2"/>
  <c r="D591" i="2"/>
  <c r="C591" i="2"/>
  <c r="B591" i="2"/>
  <c r="A591" i="2"/>
  <c r="L590" i="2"/>
  <c r="K590" i="2"/>
  <c r="J590" i="2"/>
  <c r="I590" i="2"/>
  <c r="H590" i="2"/>
  <c r="E590" i="2"/>
  <c r="D590" i="2"/>
  <c r="C590" i="2"/>
  <c r="F590" i="2" s="1"/>
  <c r="B590" i="2"/>
  <c r="G590" i="2" s="1"/>
  <c r="M590" i="2" s="1"/>
  <c r="A590" i="2"/>
  <c r="K589" i="2"/>
  <c r="J589" i="2"/>
  <c r="I589" i="2"/>
  <c r="H589" i="2"/>
  <c r="E589" i="2"/>
  <c r="D589" i="2"/>
  <c r="C589" i="2"/>
  <c r="F589" i="2" s="1"/>
  <c r="G589" i="2" s="1"/>
  <c r="B589" i="2"/>
  <c r="A589" i="2"/>
  <c r="K588" i="2"/>
  <c r="J588" i="2"/>
  <c r="I588" i="2"/>
  <c r="H588" i="2"/>
  <c r="L588" i="2" s="1"/>
  <c r="G588" i="2"/>
  <c r="M588" i="2" s="1"/>
  <c r="F588" i="2"/>
  <c r="E588" i="2"/>
  <c r="D588" i="2"/>
  <c r="C588" i="2"/>
  <c r="B588" i="2"/>
  <c r="A588" i="2"/>
  <c r="K587" i="2"/>
  <c r="J587" i="2"/>
  <c r="I587" i="2"/>
  <c r="H587" i="2"/>
  <c r="L587" i="2" s="1"/>
  <c r="E587" i="2"/>
  <c r="D587" i="2"/>
  <c r="C587" i="2"/>
  <c r="F587" i="2" s="1"/>
  <c r="B587" i="2"/>
  <c r="A587" i="2"/>
  <c r="L586" i="2"/>
  <c r="K586" i="2"/>
  <c r="J586" i="2"/>
  <c r="I586" i="2"/>
  <c r="H586" i="2"/>
  <c r="E586" i="2"/>
  <c r="D586" i="2"/>
  <c r="C586" i="2"/>
  <c r="F586" i="2" s="1"/>
  <c r="B586" i="2"/>
  <c r="G586" i="2" s="1"/>
  <c r="M586" i="2" s="1"/>
  <c r="A586" i="2"/>
  <c r="L585" i="2"/>
  <c r="K585" i="2"/>
  <c r="J585" i="2"/>
  <c r="I585" i="2"/>
  <c r="H585" i="2"/>
  <c r="E585" i="2"/>
  <c r="D585" i="2"/>
  <c r="F585" i="2" s="1"/>
  <c r="C585" i="2"/>
  <c r="B585" i="2"/>
  <c r="A585" i="2"/>
  <c r="K584" i="2"/>
  <c r="J584" i="2"/>
  <c r="I584" i="2"/>
  <c r="H584" i="2"/>
  <c r="L584" i="2" s="1"/>
  <c r="E584" i="2"/>
  <c r="D584" i="2"/>
  <c r="C584" i="2"/>
  <c r="B584" i="2"/>
  <c r="A584" i="2"/>
  <c r="K583" i="2"/>
  <c r="J583" i="2"/>
  <c r="I583" i="2"/>
  <c r="H583" i="2"/>
  <c r="L583" i="2" s="1"/>
  <c r="E583" i="2"/>
  <c r="D583" i="2"/>
  <c r="C583" i="2"/>
  <c r="F583" i="2" s="1"/>
  <c r="G583" i="2" s="1"/>
  <c r="B583" i="2"/>
  <c r="A583" i="2"/>
  <c r="K582" i="2"/>
  <c r="J582" i="2"/>
  <c r="I582" i="2"/>
  <c r="H582" i="2"/>
  <c r="E582" i="2"/>
  <c r="D582" i="2"/>
  <c r="C582" i="2"/>
  <c r="F582" i="2" s="1"/>
  <c r="G582" i="2" s="1"/>
  <c r="B582" i="2"/>
  <c r="A582" i="2"/>
  <c r="L581" i="2"/>
  <c r="K581" i="2"/>
  <c r="J581" i="2"/>
  <c r="I581" i="2"/>
  <c r="H581" i="2"/>
  <c r="E581" i="2"/>
  <c r="D581" i="2"/>
  <c r="C581" i="2"/>
  <c r="B581" i="2"/>
  <c r="A581" i="2"/>
  <c r="K580" i="2"/>
  <c r="J580" i="2"/>
  <c r="I580" i="2"/>
  <c r="L580" i="2" s="1"/>
  <c r="H580" i="2"/>
  <c r="F580" i="2"/>
  <c r="G580" i="2" s="1"/>
  <c r="M580" i="2" s="1"/>
  <c r="E580" i="2"/>
  <c r="D580" i="2"/>
  <c r="C580" i="2"/>
  <c r="B580" i="2"/>
  <c r="A580" i="2"/>
  <c r="K579" i="2"/>
  <c r="J579" i="2"/>
  <c r="I579" i="2"/>
  <c r="H579" i="2"/>
  <c r="E579" i="2"/>
  <c r="D579" i="2"/>
  <c r="C579" i="2"/>
  <c r="F579" i="2" s="1"/>
  <c r="B579" i="2"/>
  <c r="G579" i="2" s="1"/>
  <c r="A579" i="2"/>
  <c r="L578" i="2"/>
  <c r="K578" i="2"/>
  <c r="J578" i="2"/>
  <c r="I578" i="2"/>
  <c r="H578" i="2"/>
  <c r="E578" i="2"/>
  <c r="D578" i="2"/>
  <c r="C578" i="2"/>
  <c r="F578" i="2" s="1"/>
  <c r="B578" i="2"/>
  <c r="A578" i="2"/>
  <c r="K577" i="2"/>
  <c r="J577" i="2"/>
  <c r="I577" i="2"/>
  <c r="H577" i="2"/>
  <c r="L577" i="2" s="1"/>
  <c r="E577" i="2"/>
  <c r="D577" i="2"/>
  <c r="F577" i="2" s="1"/>
  <c r="C577" i="2"/>
  <c r="B577" i="2"/>
  <c r="A577" i="2"/>
  <c r="K576" i="2"/>
  <c r="J576" i="2"/>
  <c r="I576" i="2"/>
  <c r="H576" i="2"/>
  <c r="G576" i="2"/>
  <c r="F576" i="2"/>
  <c r="E576" i="2"/>
  <c r="D576" i="2"/>
  <c r="C576" i="2"/>
  <c r="B576" i="2"/>
  <c r="A576" i="2"/>
  <c r="K575" i="2"/>
  <c r="J575" i="2"/>
  <c r="I575" i="2"/>
  <c r="H575" i="2"/>
  <c r="E575" i="2"/>
  <c r="D575" i="2"/>
  <c r="F575" i="2" s="1"/>
  <c r="C575" i="2"/>
  <c r="B575" i="2"/>
  <c r="G575" i="2" s="1"/>
  <c r="A575" i="2"/>
  <c r="L574" i="2"/>
  <c r="K574" i="2"/>
  <c r="J574" i="2"/>
  <c r="I574" i="2"/>
  <c r="H574" i="2"/>
  <c r="E574" i="2"/>
  <c r="D574" i="2"/>
  <c r="C574" i="2"/>
  <c r="F574" i="2" s="1"/>
  <c r="B574" i="2"/>
  <c r="G574" i="2" s="1"/>
  <c r="M574" i="2" s="1"/>
  <c r="A574" i="2"/>
  <c r="K573" i="2"/>
  <c r="J573" i="2"/>
  <c r="I573" i="2"/>
  <c r="H573" i="2"/>
  <c r="L573" i="2" s="1"/>
  <c r="F573" i="2"/>
  <c r="G573" i="2" s="1"/>
  <c r="M573" i="2" s="1"/>
  <c r="E573" i="2"/>
  <c r="D573" i="2"/>
  <c r="C573" i="2"/>
  <c r="B573" i="2"/>
  <c r="A573" i="2"/>
  <c r="K572" i="2"/>
  <c r="J572" i="2"/>
  <c r="I572" i="2"/>
  <c r="H572" i="2"/>
  <c r="L572" i="2" s="1"/>
  <c r="G572" i="2"/>
  <c r="M572" i="2" s="1"/>
  <c r="F572" i="2"/>
  <c r="E572" i="2"/>
  <c r="D572" i="2"/>
  <c r="C572" i="2"/>
  <c r="B572" i="2"/>
  <c r="A572" i="2"/>
  <c r="K571" i="2"/>
  <c r="J571" i="2"/>
  <c r="I571" i="2"/>
  <c r="H571" i="2"/>
  <c r="E571" i="2"/>
  <c r="D571" i="2"/>
  <c r="C571" i="2"/>
  <c r="F571" i="2" s="1"/>
  <c r="B571" i="2"/>
  <c r="G571" i="2" s="1"/>
  <c r="A571" i="2"/>
  <c r="L570" i="2"/>
  <c r="K570" i="2"/>
  <c r="J570" i="2"/>
  <c r="I570" i="2"/>
  <c r="H570" i="2"/>
  <c r="E570" i="2"/>
  <c r="D570" i="2"/>
  <c r="C570" i="2"/>
  <c r="F570" i="2" s="1"/>
  <c r="B570" i="2"/>
  <c r="A570" i="2"/>
  <c r="K569" i="2"/>
  <c r="J569" i="2"/>
  <c r="I569" i="2"/>
  <c r="H569" i="2"/>
  <c r="L569" i="2" s="1"/>
  <c r="F569" i="2"/>
  <c r="G569" i="2" s="1"/>
  <c r="M569" i="2" s="1"/>
  <c r="E569" i="2"/>
  <c r="D569" i="2"/>
  <c r="C569" i="2"/>
  <c r="B569" i="2"/>
  <c r="A569" i="2"/>
  <c r="K568" i="2"/>
  <c r="J568" i="2"/>
  <c r="I568" i="2"/>
  <c r="H568" i="2"/>
  <c r="E568" i="2"/>
  <c r="D568" i="2"/>
  <c r="C568" i="2"/>
  <c r="F568" i="2" s="1"/>
  <c r="G568" i="2" s="1"/>
  <c r="B568" i="2"/>
  <c r="A568" i="2"/>
  <c r="K567" i="2"/>
  <c r="L567" i="2" s="1"/>
  <c r="M567" i="2" s="1"/>
  <c r="J567" i="2"/>
  <c r="I567" i="2"/>
  <c r="H567" i="2"/>
  <c r="E567" i="2"/>
  <c r="D567" i="2"/>
  <c r="C567" i="2"/>
  <c r="F567" i="2" s="1"/>
  <c r="B567" i="2"/>
  <c r="G567" i="2" s="1"/>
  <c r="A567" i="2"/>
  <c r="L566" i="2"/>
  <c r="K566" i="2"/>
  <c r="J566" i="2"/>
  <c r="I566" i="2"/>
  <c r="H566" i="2"/>
  <c r="E566" i="2"/>
  <c r="D566" i="2"/>
  <c r="C566" i="2"/>
  <c r="B566" i="2"/>
  <c r="A566" i="2"/>
  <c r="K565" i="2"/>
  <c r="J565" i="2"/>
  <c r="I565" i="2"/>
  <c r="H565" i="2"/>
  <c r="L565" i="2" s="1"/>
  <c r="F565" i="2"/>
  <c r="G565" i="2" s="1"/>
  <c r="M565" i="2" s="1"/>
  <c r="E565" i="2"/>
  <c r="D565" i="2"/>
  <c r="C565" i="2"/>
  <c r="B565" i="2"/>
  <c r="A565" i="2"/>
  <c r="K564" i="2"/>
  <c r="J564" i="2"/>
  <c r="I564" i="2"/>
  <c r="H564" i="2"/>
  <c r="G564" i="2"/>
  <c r="E564" i="2"/>
  <c r="D564" i="2"/>
  <c r="C564" i="2"/>
  <c r="F564" i="2" s="1"/>
  <c r="B564" i="2"/>
  <c r="A564" i="2"/>
  <c r="L563" i="2"/>
  <c r="K563" i="2"/>
  <c r="J563" i="2"/>
  <c r="I563" i="2"/>
  <c r="H563" i="2"/>
  <c r="E563" i="2"/>
  <c r="D563" i="2"/>
  <c r="C563" i="2"/>
  <c r="F563" i="2" s="1"/>
  <c r="B563" i="2"/>
  <c r="A563" i="2"/>
  <c r="K562" i="2"/>
  <c r="J562" i="2"/>
  <c r="I562" i="2"/>
  <c r="H562" i="2"/>
  <c r="E562" i="2"/>
  <c r="D562" i="2"/>
  <c r="C562" i="2"/>
  <c r="F562" i="2" s="1"/>
  <c r="G562" i="2" s="1"/>
  <c r="B562" i="2"/>
  <c r="A562" i="2"/>
  <c r="K561" i="2"/>
  <c r="J561" i="2"/>
  <c r="I561" i="2"/>
  <c r="H561" i="2"/>
  <c r="L561" i="2" s="1"/>
  <c r="G561" i="2"/>
  <c r="M561" i="2" s="1"/>
  <c r="F561" i="2"/>
  <c r="E561" i="2"/>
  <c r="D561" i="2"/>
  <c r="C561" i="2"/>
  <c r="B561" i="2"/>
  <c r="A561" i="2"/>
  <c r="K560" i="2"/>
  <c r="J560" i="2"/>
  <c r="I560" i="2"/>
  <c r="H560" i="2"/>
  <c r="E560" i="2"/>
  <c r="D560" i="2"/>
  <c r="C560" i="2"/>
  <c r="F560" i="2" s="1"/>
  <c r="G560" i="2" s="1"/>
  <c r="B560" i="2"/>
  <c r="A560" i="2"/>
  <c r="M559" i="2"/>
  <c r="L559" i="2"/>
  <c r="K559" i="2"/>
  <c r="J559" i="2"/>
  <c r="I559" i="2"/>
  <c r="H559" i="2"/>
  <c r="E559" i="2"/>
  <c r="D559" i="2"/>
  <c r="C559" i="2"/>
  <c r="F559" i="2" s="1"/>
  <c r="B559" i="2"/>
  <c r="G559" i="2" s="1"/>
  <c r="A559" i="2"/>
  <c r="K558" i="2"/>
  <c r="J558" i="2"/>
  <c r="I558" i="2"/>
  <c r="H558" i="2"/>
  <c r="L558" i="2" s="1"/>
  <c r="E558" i="2"/>
  <c r="F558" i="2" s="1"/>
  <c r="G558" i="2" s="1"/>
  <c r="M558" i="2" s="1"/>
  <c r="D558" i="2"/>
  <c r="C558" i="2"/>
  <c r="B558" i="2"/>
  <c r="A558" i="2"/>
  <c r="K557" i="2"/>
  <c r="J557" i="2"/>
  <c r="I557" i="2"/>
  <c r="H557" i="2"/>
  <c r="L557" i="2" s="1"/>
  <c r="F557" i="2"/>
  <c r="E557" i="2"/>
  <c r="D557" i="2"/>
  <c r="C557" i="2"/>
  <c r="B557" i="2"/>
  <c r="A557" i="2"/>
  <c r="K556" i="2"/>
  <c r="J556" i="2"/>
  <c r="I556" i="2"/>
  <c r="H556" i="2"/>
  <c r="L556" i="2" s="1"/>
  <c r="E556" i="2"/>
  <c r="D556" i="2"/>
  <c r="C556" i="2"/>
  <c r="F556" i="2" s="1"/>
  <c r="B556" i="2"/>
  <c r="A556" i="2"/>
  <c r="L555" i="2"/>
  <c r="K555" i="2"/>
  <c r="J555" i="2"/>
  <c r="I555" i="2"/>
  <c r="H555" i="2"/>
  <c r="E555" i="2"/>
  <c r="D555" i="2"/>
  <c r="F555" i="2" s="1"/>
  <c r="C555" i="2"/>
  <c r="B555" i="2"/>
  <c r="A555" i="2"/>
  <c r="K554" i="2"/>
  <c r="J554" i="2"/>
  <c r="I554" i="2"/>
  <c r="H554" i="2"/>
  <c r="L554" i="2" s="1"/>
  <c r="E554" i="2"/>
  <c r="D554" i="2"/>
  <c r="C554" i="2"/>
  <c r="B554" i="2"/>
  <c r="A554" i="2"/>
  <c r="K553" i="2"/>
  <c r="J553" i="2"/>
  <c r="I553" i="2"/>
  <c r="H553" i="2"/>
  <c r="L553" i="2" s="1"/>
  <c r="F553" i="2"/>
  <c r="G553" i="2" s="1"/>
  <c r="M553" i="2" s="1"/>
  <c r="E553" i="2"/>
  <c r="D553" i="2"/>
  <c r="C553" i="2"/>
  <c r="B553" i="2"/>
  <c r="A553" i="2"/>
  <c r="K552" i="2"/>
  <c r="J552" i="2"/>
  <c r="I552" i="2"/>
  <c r="H552" i="2"/>
  <c r="E552" i="2"/>
  <c r="D552" i="2"/>
  <c r="C552" i="2"/>
  <c r="F552" i="2" s="1"/>
  <c r="G552" i="2" s="1"/>
  <c r="B552" i="2"/>
  <c r="A552" i="2"/>
  <c r="L551" i="2"/>
  <c r="K551" i="2"/>
  <c r="J551" i="2"/>
  <c r="I551" i="2"/>
  <c r="H551" i="2"/>
  <c r="E551" i="2"/>
  <c r="D551" i="2"/>
  <c r="C551" i="2"/>
  <c r="F551" i="2" s="1"/>
  <c r="B551" i="2"/>
  <c r="A551" i="2"/>
  <c r="K550" i="2"/>
  <c r="J550" i="2"/>
  <c r="I550" i="2"/>
  <c r="L550" i="2" s="1"/>
  <c r="H550" i="2"/>
  <c r="F550" i="2"/>
  <c r="G550" i="2" s="1"/>
  <c r="M550" i="2" s="1"/>
  <c r="E550" i="2"/>
  <c r="D550" i="2"/>
  <c r="C550" i="2"/>
  <c r="B550" i="2"/>
  <c r="A550" i="2"/>
  <c r="K549" i="2"/>
  <c r="J549" i="2"/>
  <c r="I549" i="2"/>
  <c r="H549" i="2"/>
  <c r="G549" i="2"/>
  <c r="F549" i="2"/>
  <c r="E549" i="2"/>
  <c r="D549" i="2"/>
  <c r="C549" i="2"/>
  <c r="B549" i="2"/>
  <c r="A549" i="2"/>
  <c r="K548" i="2"/>
  <c r="J548" i="2"/>
  <c r="L548" i="2" s="1"/>
  <c r="I548" i="2"/>
  <c r="H548" i="2"/>
  <c r="E548" i="2"/>
  <c r="D548" i="2"/>
  <c r="C548" i="2"/>
  <c r="F548" i="2" s="1"/>
  <c r="B548" i="2"/>
  <c r="G548" i="2" s="1"/>
  <c r="A548" i="2"/>
  <c r="L547" i="2"/>
  <c r="K547" i="2"/>
  <c r="J547" i="2"/>
  <c r="I547" i="2"/>
  <c r="H547" i="2"/>
  <c r="E547" i="2"/>
  <c r="D547" i="2"/>
  <c r="C547" i="2"/>
  <c r="F547" i="2" s="1"/>
  <c r="B547" i="2"/>
  <c r="G547" i="2" s="1"/>
  <c r="M547" i="2" s="1"/>
  <c r="A547" i="2"/>
  <c r="K546" i="2"/>
  <c r="J546" i="2"/>
  <c r="I546" i="2"/>
  <c r="H546" i="2"/>
  <c r="L546" i="2" s="1"/>
  <c r="F546" i="2"/>
  <c r="G546" i="2" s="1"/>
  <c r="M546" i="2" s="1"/>
  <c r="E546" i="2"/>
  <c r="D546" i="2"/>
  <c r="C546" i="2"/>
  <c r="B546" i="2"/>
  <c r="A546" i="2"/>
  <c r="K545" i="2"/>
  <c r="J545" i="2"/>
  <c r="I545" i="2"/>
  <c r="H545" i="2"/>
  <c r="L545" i="2" s="1"/>
  <c r="G545" i="2"/>
  <c r="M545" i="2" s="1"/>
  <c r="F545" i="2"/>
  <c r="E545" i="2"/>
  <c r="D545" i="2"/>
  <c r="C545" i="2"/>
  <c r="B545" i="2"/>
  <c r="A545" i="2"/>
  <c r="L544" i="2"/>
  <c r="K544" i="2"/>
  <c r="J544" i="2"/>
  <c r="I544" i="2"/>
  <c r="H544" i="2"/>
  <c r="E544" i="2"/>
  <c r="D544" i="2"/>
  <c r="C544" i="2"/>
  <c r="B544" i="2"/>
  <c r="A544" i="2"/>
  <c r="L543" i="2"/>
  <c r="K543" i="2"/>
  <c r="J543" i="2"/>
  <c r="I543" i="2"/>
  <c r="H543" i="2"/>
  <c r="E543" i="2"/>
  <c r="D543" i="2"/>
  <c r="C543" i="2"/>
  <c r="F543" i="2" s="1"/>
  <c r="B543" i="2"/>
  <c r="A543" i="2"/>
  <c r="K542" i="2"/>
  <c r="J542" i="2"/>
  <c r="I542" i="2"/>
  <c r="H542" i="2"/>
  <c r="E542" i="2"/>
  <c r="D542" i="2"/>
  <c r="F542" i="2" s="1"/>
  <c r="G542" i="2" s="1"/>
  <c r="C542" i="2"/>
  <c r="B542" i="2"/>
  <c r="A542" i="2"/>
  <c r="K541" i="2"/>
  <c r="J541" i="2"/>
  <c r="I541" i="2"/>
  <c r="H541" i="2"/>
  <c r="G541" i="2"/>
  <c r="F541" i="2"/>
  <c r="E541" i="2"/>
  <c r="D541" i="2"/>
  <c r="C541" i="2"/>
  <c r="B541" i="2"/>
  <c r="A541" i="2"/>
  <c r="K540" i="2"/>
  <c r="L540" i="2" s="1"/>
  <c r="J540" i="2"/>
  <c r="I540" i="2"/>
  <c r="H540" i="2"/>
  <c r="E540" i="2"/>
  <c r="D540" i="2"/>
  <c r="C540" i="2"/>
  <c r="F540" i="2" s="1"/>
  <c r="B540" i="2"/>
  <c r="G540" i="2" s="1"/>
  <c r="A540" i="2"/>
  <c r="L539" i="2"/>
  <c r="K539" i="2"/>
  <c r="J539" i="2"/>
  <c r="I539" i="2"/>
  <c r="H539" i="2"/>
  <c r="E539" i="2"/>
  <c r="D539" i="2"/>
  <c r="C539" i="2"/>
  <c r="F539" i="2" s="1"/>
  <c r="B539" i="2"/>
  <c r="A539" i="2"/>
  <c r="K538" i="2"/>
  <c r="J538" i="2"/>
  <c r="I538" i="2"/>
  <c r="H538" i="2"/>
  <c r="L538" i="2" s="1"/>
  <c r="F538" i="2"/>
  <c r="G538" i="2" s="1"/>
  <c r="M538" i="2" s="1"/>
  <c r="E538" i="2"/>
  <c r="D538" i="2"/>
  <c r="C538" i="2"/>
  <c r="B538" i="2"/>
  <c r="A538" i="2"/>
  <c r="K537" i="2"/>
  <c r="J537" i="2"/>
  <c r="I537" i="2"/>
  <c r="H537" i="2"/>
  <c r="E537" i="2"/>
  <c r="D537" i="2"/>
  <c r="C537" i="2"/>
  <c r="F537" i="2" s="1"/>
  <c r="B537" i="2"/>
  <c r="A537" i="2"/>
  <c r="K536" i="2"/>
  <c r="L536" i="2" s="1"/>
  <c r="M536" i="2" s="1"/>
  <c r="J536" i="2"/>
  <c r="I536" i="2"/>
  <c r="H536" i="2"/>
  <c r="E536" i="2"/>
  <c r="D536" i="2"/>
  <c r="C536" i="2"/>
  <c r="F536" i="2" s="1"/>
  <c r="B536" i="2"/>
  <c r="G536" i="2" s="1"/>
  <c r="A536" i="2"/>
  <c r="L535" i="2"/>
  <c r="K535" i="2"/>
  <c r="J535" i="2"/>
  <c r="I535" i="2"/>
  <c r="H535" i="2"/>
  <c r="E535" i="2"/>
  <c r="D535" i="2"/>
  <c r="F535" i="2" s="1"/>
  <c r="C535" i="2"/>
  <c r="B535" i="2"/>
  <c r="A535" i="2"/>
  <c r="K534" i="2"/>
  <c r="J534" i="2"/>
  <c r="I534" i="2"/>
  <c r="H534" i="2"/>
  <c r="L534" i="2" s="1"/>
  <c r="E534" i="2"/>
  <c r="D534" i="2"/>
  <c r="C534" i="2"/>
  <c r="B534" i="2"/>
  <c r="A534" i="2"/>
  <c r="K533" i="2"/>
  <c r="J533" i="2"/>
  <c r="I533" i="2"/>
  <c r="H533" i="2"/>
  <c r="L533" i="2" s="1"/>
  <c r="E533" i="2"/>
  <c r="D533" i="2"/>
  <c r="C533" i="2"/>
  <c r="F533" i="2" s="1"/>
  <c r="G533" i="2" s="1"/>
  <c r="M533" i="2" s="1"/>
  <c r="B533" i="2"/>
  <c r="A533" i="2"/>
  <c r="K532" i="2"/>
  <c r="J532" i="2"/>
  <c r="I532" i="2"/>
  <c r="H532" i="2"/>
  <c r="E532" i="2"/>
  <c r="D532" i="2"/>
  <c r="C532" i="2"/>
  <c r="F532" i="2" s="1"/>
  <c r="G532" i="2" s="1"/>
  <c r="B532" i="2"/>
  <c r="A532" i="2"/>
  <c r="L531" i="2"/>
  <c r="K531" i="2"/>
  <c r="J531" i="2"/>
  <c r="I531" i="2"/>
  <c r="H531" i="2"/>
  <c r="E531" i="2"/>
  <c r="D531" i="2"/>
  <c r="C531" i="2"/>
  <c r="B531" i="2"/>
  <c r="A531" i="2"/>
  <c r="K530" i="2"/>
  <c r="J530" i="2"/>
  <c r="I530" i="2"/>
  <c r="L530" i="2" s="1"/>
  <c r="H530" i="2"/>
  <c r="F530" i="2"/>
  <c r="G530" i="2" s="1"/>
  <c r="M530" i="2" s="1"/>
  <c r="E530" i="2"/>
  <c r="D530" i="2"/>
  <c r="C530" i="2"/>
  <c r="B530" i="2"/>
  <c r="A530" i="2"/>
  <c r="K529" i="2"/>
  <c r="J529" i="2"/>
  <c r="I529" i="2"/>
  <c r="H529" i="2"/>
  <c r="E529" i="2"/>
  <c r="D529" i="2"/>
  <c r="C529" i="2"/>
  <c r="F529" i="2" s="1"/>
  <c r="B529" i="2"/>
  <c r="G529" i="2" s="1"/>
  <c r="A529" i="2"/>
  <c r="L528" i="2"/>
  <c r="K528" i="2"/>
  <c r="J528" i="2"/>
  <c r="I528" i="2"/>
  <c r="H528" i="2"/>
  <c r="E528" i="2"/>
  <c r="D528" i="2"/>
  <c r="C528" i="2"/>
  <c r="F528" i="2" s="1"/>
  <c r="B528" i="2"/>
  <c r="G528" i="2" s="1"/>
  <c r="M528" i="2" s="1"/>
  <c r="A528" i="2"/>
  <c r="K527" i="2"/>
  <c r="J527" i="2"/>
  <c r="I527" i="2"/>
  <c r="H527" i="2"/>
  <c r="L527" i="2" s="1"/>
  <c r="E527" i="2"/>
  <c r="F527" i="2" s="1"/>
  <c r="D527" i="2"/>
  <c r="C527" i="2"/>
  <c r="B527" i="2"/>
  <c r="A527" i="2"/>
  <c r="K526" i="2"/>
  <c r="J526" i="2"/>
  <c r="I526" i="2"/>
  <c r="H526" i="2"/>
  <c r="L526" i="2" s="1"/>
  <c r="G526" i="2"/>
  <c r="M526" i="2" s="1"/>
  <c r="F526" i="2"/>
  <c r="E526" i="2"/>
  <c r="D526" i="2"/>
  <c r="C526" i="2"/>
  <c r="B526" i="2"/>
  <c r="A526" i="2"/>
  <c r="K525" i="2"/>
  <c r="J525" i="2"/>
  <c r="I525" i="2"/>
  <c r="H525" i="2"/>
  <c r="L525" i="2" s="1"/>
  <c r="E525" i="2"/>
  <c r="D525" i="2"/>
  <c r="F525" i="2" s="1"/>
  <c r="C525" i="2"/>
  <c r="B525" i="2"/>
  <c r="G525" i="2" s="1"/>
  <c r="M525" i="2" s="1"/>
  <c r="A525" i="2"/>
  <c r="L524" i="2"/>
  <c r="K524" i="2"/>
  <c r="J524" i="2"/>
  <c r="I524" i="2"/>
  <c r="H524" i="2"/>
  <c r="E524" i="2"/>
  <c r="D524" i="2"/>
  <c r="C524" i="2"/>
  <c r="F524" i="2" s="1"/>
  <c r="B524" i="2"/>
  <c r="A524" i="2"/>
  <c r="K523" i="2"/>
  <c r="J523" i="2"/>
  <c r="I523" i="2"/>
  <c r="H523" i="2"/>
  <c r="L523" i="2" s="1"/>
  <c r="F523" i="2"/>
  <c r="G523" i="2" s="1"/>
  <c r="M523" i="2" s="1"/>
  <c r="E523" i="2"/>
  <c r="D523" i="2"/>
  <c r="C523" i="2"/>
  <c r="B523" i="2"/>
  <c r="A523" i="2"/>
  <c r="K522" i="2"/>
  <c r="J522" i="2"/>
  <c r="I522" i="2"/>
  <c r="H522" i="2"/>
  <c r="L522" i="2" s="1"/>
  <c r="G522" i="2"/>
  <c r="M522" i="2" s="1"/>
  <c r="F522" i="2"/>
  <c r="E522" i="2"/>
  <c r="D522" i="2"/>
  <c r="C522" i="2"/>
  <c r="B522" i="2"/>
  <c r="A522" i="2"/>
  <c r="K521" i="2"/>
  <c r="J521" i="2"/>
  <c r="I521" i="2"/>
  <c r="H521" i="2"/>
  <c r="L521" i="2" s="1"/>
  <c r="E521" i="2"/>
  <c r="D521" i="2"/>
  <c r="C521" i="2"/>
  <c r="F521" i="2" s="1"/>
  <c r="B521" i="2"/>
  <c r="A521" i="2"/>
  <c r="L520" i="2"/>
  <c r="K520" i="2"/>
  <c r="J520" i="2"/>
  <c r="I520" i="2"/>
  <c r="H520" i="2"/>
  <c r="E520" i="2"/>
  <c r="D520" i="2"/>
  <c r="C520" i="2"/>
  <c r="B520" i="2"/>
  <c r="A520" i="2"/>
  <c r="K519" i="2"/>
  <c r="J519" i="2"/>
  <c r="I519" i="2"/>
  <c r="H519" i="2"/>
  <c r="L519" i="2" s="1"/>
  <c r="E519" i="2"/>
  <c r="F519" i="2" s="1"/>
  <c r="G519" i="2" s="1"/>
  <c r="M519" i="2" s="1"/>
  <c r="D519" i="2"/>
  <c r="C519" i="2"/>
  <c r="B519" i="2"/>
  <c r="A519" i="2"/>
  <c r="K518" i="2"/>
  <c r="J518" i="2"/>
  <c r="I518" i="2"/>
  <c r="H518" i="2"/>
  <c r="E518" i="2"/>
  <c r="D518" i="2"/>
  <c r="C518" i="2"/>
  <c r="F518" i="2" s="1"/>
  <c r="G518" i="2" s="1"/>
  <c r="B518" i="2"/>
  <c r="A518" i="2"/>
  <c r="K517" i="2"/>
  <c r="L517" i="2" s="1"/>
  <c r="J517" i="2"/>
  <c r="I517" i="2"/>
  <c r="H517" i="2"/>
  <c r="E517" i="2"/>
  <c r="D517" i="2"/>
  <c r="C517" i="2"/>
  <c r="F517" i="2" s="1"/>
  <c r="B517" i="2"/>
  <c r="G517" i="2" s="1"/>
  <c r="M517" i="2" s="1"/>
  <c r="A517" i="2"/>
  <c r="L516" i="2"/>
  <c r="K516" i="2"/>
  <c r="J516" i="2"/>
  <c r="I516" i="2"/>
  <c r="H516" i="2"/>
  <c r="E516" i="2"/>
  <c r="D516" i="2"/>
  <c r="C516" i="2"/>
  <c r="F516" i="2" s="1"/>
  <c r="B516" i="2"/>
  <c r="A516" i="2"/>
  <c r="K515" i="2"/>
  <c r="J515" i="2"/>
  <c r="I515" i="2"/>
  <c r="H515" i="2"/>
  <c r="L515" i="2" s="1"/>
  <c r="E515" i="2"/>
  <c r="F515" i="2" s="1"/>
  <c r="G515" i="2" s="1"/>
  <c r="M515" i="2" s="1"/>
  <c r="D515" i="2"/>
  <c r="C515" i="2"/>
  <c r="B515" i="2"/>
  <c r="A515" i="2"/>
  <c r="K514" i="2"/>
  <c r="J514" i="2"/>
  <c r="I514" i="2"/>
  <c r="H514" i="2"/>
  <c r="L514" i="2" s="1"/>
  <c r="G514" i="2"/>
  <c r="E514" i="2"/>
  <c r="D514" i="2"/>
  <c r="C514" i="2"/>
  <c r="F514" i="2" s="1"/>
  <c r="B514" i="2"/>
  <c r="A514" i="2"/>
  <c r="L513" i="2"/>
  <c r="K513" i="2"/>
  <c r="J513" i="2"/>
  <c r="I513" i="2"/>
  <c r="H513" i="2"/>
  <c r="E513" i="2"/>
  <c r="D513" i="2"/>
  <c r="C513" i="2"/>
  <c r="F513" i="2" s="1"/>
  <c r="B513" i="2"/>
  <c r="G513" i="2" s="1"/>
  <c r="A513" i="2"/>
  <c r="K512" i="2"/>
  <c r="J512" i="2"/>
  <c r="I512" i="2"/>
  <c r="H512" i="2"/>
  <c r="E512" i="2"/>
  <c r="D512" i="2"/>
  <c r="C512" i="2"/>
  <c r="B512" i="2"/>
  <c r="A512" i="2"/>
  <c r="K511" i="2"/>
  <c r="J511" i="2"/>
  <c r="I511" i="2"/>
  <c r="H511" i="2"/>
  <c r="L511" i="2" s="1"/>
  <c r="F511" i="2"/>
  <c r="G511" i="2" s="1"/>
  <c r="M511" i="2" s="1"/>
  <c r="E511" i="2"/>
  <c r="D511" i="2"/>
  <c r="C511" i="2"/>
  <c r="B511" i="2"/>
  <c r="A511" i="2"/>
  <c r="K510" i="2"/>
  <c r="J510" i="2"/>
  <c r="I510" i="2"/>
  <c r="L510" i="2" s="1"/>
  <c r="H510" i="2"/>
  <c r="E510" i="2"/>
  <c r="D510" i="2"/>
  <c r="C510" i="2"/>
  <c r="F510" i="2" s="1"/>
  <c r="G510" i="2" s="1"/>
  <c r="B510" i="2"/>
  <c r="A510" i="2"/>
  <c r="M509" i="2"/>
  <c r="L509" i="2"/>
  <c r="K509" i="2"/>
  <c r="J509" i="2"/>
  <c r="I509" i="2"/>
  <c r="H509" i="2"/>
  <c r="E509" i="2"/>
  <c r="D509" i="2"/>
  <c r="C509" i="2"/>
  <c r="F509" i="2" s="1"/>
  <c r="B509" i="2"/>
  <c r="G509" i="2" s="1"/>
  <c r="A509" i="2"/>
  <c r="K508" i="2"/>
  <c r="J508" i="2"/>
  <c r="I508" i="2"/>
  <c r="H508" i="2"/>
  <c r="L508" i="2" s="1"/>
  <c r="E508" i="2"/>
  <c r="F508" i="2" s="1"/>
  <c r="G508" i="2" s="1"/>
  <c r="M508" i="2" s="1"/>
  <c r="D508" i="2"/>
  <c r="C508" i="2"/>
  <c r="B508" i="2"/>
  <c r="A508" i="2"/>
  <c r="K507" i="2"/>
  <c r="J507" i="2"/>
  <c r="I507" i="2"/>
  <c r="H507" i="2"/>
  <c r="F507" i="2"/>
  <c r="E507" i="2"/>
  <c r="D507" i="2"/>
  <c r="C507" i="2"/>
  <c r="B507" i="2"/>
  <c r="A507" i="2"/>
  <c r="K506" i="2"/>
  <c r="J506" i="2"/>
  <c r="I506" i="2"/>
  <c r="H506" i="2"/>
  <c r="E506" i="2"/>
  <c r="D506" i="2"/>
  <c r="C506" i="2"/>
  <c r="F506" i="2" s="1"/>
  <c r="B506" i="2"/>
  <c r="G506" i="2" s="1"/>
  <c r="A506" i="2"/>
  <c r="M505" i="2"/>
  <c r="L505" i="2"/>
  <c r="K505" i="2"/>
  <c r="J505" i="2"/>
  <c r="I505" i="2"/>
  <c r="H505" i="2"/>
  <c r="E505" i="2"/>
  <c r="D505" i="2"/>
  <c r="C505" i="2"/>
  <c r="F505" i="2" s="1"/>
  <c r="B505" i="2"/>
  <c r="G505" i="2" s="1"/>
  <c r="A505" i="2"/>
  <c r="K504" i="2"/>
  <c r="J504" i="2"/>
  <c r="I504" i="2"/>
  <c r="H504" i="2"/>
  <c r="L504" i="2" s="1"/>
  <c r="F504" i="2"/>
  <c r="G504" i="2" s="1"/>
  <c r="M504" i="2" s="1"/>
  <c r="E504" i="2"/>
  <c r="D504" i="2"/>
  <c r="C504" i="2"/>
  <c r="B504" i="2"/>
  <c r="A504" i="2"/>
  <c r="K503" i="2"/>
  <c r="J503" i="2"/>
  <c r="I503" i="2"/>
  <c r="H503" i="2"/>
  <c r="E503" i="2"/>
  <c r="D503" i="2"/>
  <c r="C503" i="2"/>
  <c r="F503" i="2" s="1"/>
  <c r="G503" i="2" s="1"/>
  <c r="B503" i="2"/>
  <c r="A503" i="2"/>
  <c r="K502" i="2"/>
  <c r="L502" i="2" s="1"/>
  <c r="J502" i="2"/>
  <c r="I502" i="2"/>
  <c r="H502" i="2"/>
  <c r="E502" i="2"/>
  <c r="D502" i="2"/>
  <c r="C502" i="2"/>
  <c r="F502" i="2" s="1"/>
  <c r="B502" i="2"/>
  <c r="G502" i="2" s="1"/>
  <c r="A502" i="2"/>
  <c r="K501" i="2"/>
  <c r="J501" i="2"/>
  <c r="I501" i="2"/>
  <c r="H501" i="2"/>
  <c r="L501" i="2" s="1"/>
  <c r="F501" i="2"/>
  <c r="G501" i="2" s="1"/>
  <c r="M501" i="2" s="1"/>
  <c r="E501" i="2"/>
  <c r="D501" i="2"/>
  <c r="C501" i="2"/>
  <c r="B501" i="2"/>
  <c r="A501" i="2"/>
  <c r="K500" i="2"/>
  <c r="J500" i="2"/>
  <c r="I500" i="2"/>
  <c r="H500" i="2"/>
  <c r="L500" i="2" s="1"/>
  <c r="G500" i="2"/>
  <c r="M500" i="2" s="1"/>
  <c r="F500" i="2"/>
  <c r="E500" i="2"/>
  <c r="D500" i="2"/>
  <c r="C500" i="2"/>
  <c r="B500" i="2"/>
  <c r="A500" i="2"/>
  <c r="L499" i="2"/>
  <c r="K499" i="2"/>
  <c r="J499" i="2"/>
  <c r="I499" i="2"/>
  <c r="H499" i="2"/>
  <c r="E499" i="2"/>
  <c r="D499" i="2"/>
  <c r="C499" i="2"/>
  <c r="F499" i="2" s="1"/>
  <c r="B499" i="2"/>
  <c r="A499" i="2"/>
  <c r="L498" i="2"/>
  <c r="K498" i="2"/>
  <c r="J498" i="2"/>
  <c r="I498" i="2"/>
  <c r="H498" i="2"/>
  <c r="E498" i="2"/>
  <c r="D498" i="2"/>
  <c r="C498" i="2"/>
  <c r="B498" i="2"/>
  <c r="A498" i="2"/>
  <c r="K497" i="2"/>
  <c r="J497" i="2"/>
  <c r="I497" i="2"/>
  <c r="H497" i="2"/>
  <c r="L497" i="2" s="1"/>
  <c r="F497" i="2"/>
  <c r="G497" i="2" s="1"/>
  <c r="M497" i="2" s="1"/>
  <c r="E497" i="2"/>
  <c r="D497" i="2"/>
  <c r="C497" i="2"/>
  <c r="B497" i="2"/>
  <c r="A497" i="2"/>
  <c r="K496" i="2"/>
  <c r="J496" i="2"/>
  <c r="I496" i="2"/>
  <c r="H496" i="2"/>
  <c r="E496" i="2"/>
  <c r="D496" i="2"/>
  <c r="C496" i="2"/>
  <c r="F496" i="2" s="1"/>
  <c r="B496" i="2"/>
  <c r="G496" i="2" s="1"/>
  <c r="A496" i="2"/>
  <c r="L495" i="2"/>
  <c r="K495" i="2"/>
  <c r="J495" i="2"/>
  <c r="I495" i="2"/>
  <c r="H495" i="2"/>
  <c r="E495" i="2"/>
  <c r="D495" i="2"/>
  <c r="C495" i="2"/>
  <c r="F495" i="2" s="1"/>
  <c r="B495" i="2"/>
  <c r="G495" i="2" s="1"/>
  <c r="M495" i="2" s="1"/>
  <c r="A495" i="2"/>
  <c r="K494" i="2"/>
  <c r="J494" i="2"/>
  <c r="I494" i="2"/>
  <c r="H494" i="2"/>
  <c r="L494" i="2" s="1"/>
  <c r="F494" i="2"/>
  <c r="G494" i="2" s="1"/>
  <c r="M494" i="2" s="1"/>
  <c r="E494" i="2"/>
  <c r="D494" i="2"/>
  <c r="C494" i="2"/>
  <c r="B494" i="2"/>
  <c r="A494" i="2"/>
  <c r="K493" i="2"/>
  <c r="J493" i="2"/>
  <c r="I493" i="2"/>
  <c r="H493" i="2"/>
  <c r="L493" i="2" s="1"/>
  <c r="E493" i="2"/>
  <c r="D493" i="2"/>
  <c r="C493" i="2"/>
  <c r="F493" i="2" s="1"/>
  <c r="G493" i="2" s="1"/>
  <c r="M493" i="2" s="1"/>
  <c r="B493" i="2"/>
  <c r="A493" i="2"/>
  <c r="K492" i="2"/>
  <c r="J492" i="2"/>
  <c r="L492" i="2" s="1"/>
  <c r="I492" i="2"/>
  <c r="H492" i="2"/>
  <c r="E492" i="2"/>
  <c r="D492" i="2"/>
  <c r="C492" i="2"/>
  <c r="B492" i="2"/>
  <c r="A492" i="2"/>
  <c r="K491" i="2"/>
  <c r="J491" i="2"/>
  <c r="I491" i="2"/>
  <c r="H491" i="2"/>
  <c r="L491" i="2" s="1"/>
  <c r="F491" i="2"/>
  <c r="G491" i="2" s="1"/>
  <c r="M491" i="2" s="1"/>
  <c r="E491" i="2"/>
  <c r="D491" i="2"/>
  <c r="C491" i="2"/>
  <c r="B491" i="2"/>
  <c r="A491" i="2"/>
  <c r="K490" i="2"/>
  <c r="J490" i="2"/>
  <c r="I490" i="2"/>
  <c r="H490" i="2"/>
  <c r="G490" i="2"/>
  <c r="F490" i="2"/>
  <c r="E490" i="2"/>
  <c r="D490" i="2"/>
  <c r="C490" i="2"/>
  <c r="B490" i="2"/>
  <c r="A490" i="2"/>
  <c r="M489" i="2"/>
  <c r="K489" i="2"/>
  <c r="J489" i="2"/>
  <c r="L489" i="2" s="1"/>
  <c r="I489" i="2"/>
  <c r="H489" i="2"/>
  <c r="E489" i="2"/>
  <c r="D489" i="2"/>
  <c r="C489" i="2"/>
  <c r="F489" i="2" s="1"/>
  <c r="B489" i="2"/>
  <c r="G489" i="2" s="1"/>
  <c r="A489" i="2"/>
  <c r="L488" i="2"/>
  <c r="K488" i="2"/>
  <c r="J488" i="2"/>
  <c r="I488" i="2"/>
  <c r="H488" i="2"/>
  <c r="E488" i="2"/>
  <c r="D488" i="2"/>
  <c r="C488" i="2"/>
  <c r="F488" i="2" s="1"/>
  <c r="B488" i="2"/>
  <c r="A488" i="2"/>
  <c r="K487" i="2"/>
  <c r="J487" i="2"/>
  <c r="I487" i="2"/>
  <c r="H487" i="2"/>
  <c r="L487" i="2" s="1"/>
  <c r="E487" i="2"/>
  <c r="F487" i="2" s="1"/>
  <c r="G487" i="2" s="1"/>
  <c r="M487" i="2" s="1"/>
  <c r="D487" i="2"/>
  <c r="C487" i="2"/>
  <c r="B487" i="2"/>
  <c r="A487" i="2"/>
  <c r="K486" i="2"/>
  <c r="J486" i="2"/>
  <c r="I486" i="2"/>
  <c r="H486" i="2"/>
  <c r="L486" i="2" s="1"/>
  <c r="E486" i="2"/>
  <c r="D486" i="2"/>
  <c r="C486" i="2"/>
  <c r="F486" i="2" s="1"/>
  <c r="B486" i="2"/>
  <c r="G486" i="2" s="1"/>
  <c r="A486" i="2"/>
  <c r="K485" i="2"/>
  <c r="L485" i="2" s="1"/>
  <c r="J485" i="2"/>
  <c r="I485" i="2"/>
  <c r="H485" i="2"/>
  <c r="E485" i="2"/>
  <c r="D485" i="2"/>
  <c r="C485" i="2"/>
  <c r="B485" i="2"/>
  <c r="A485" i="2"/>
  <c r="K484" i="2"/>
  <c r="J484" i="2"/>
  <c r="I484" i="2"/>
  <c r="H484" i="2"/>
  <c r="L484" i="2" s="1"/>
  <c r="F484" i="2"/>
  <c r="G484" i="2" s="1"/>
  <c r="M484" i="2" s="1"/>
  <c r="E484" i="2"/>
  <c r="D484" i="2"/>
  <c r="C484" i="2"/>
  <c r="B484" i="2"/>
  <c r="A484" i="2"/>
  <c r="K483" i="2"/>
  <c r="J483" i="2"/>
  <c r="I483" i="2"/>
  <c r="H483" i="2"/>
  <c r="G483" i="2"/>
  <c r="E483" i="2"/>
  <c r="D483" i="2"/>
  <c r="C483" i="2"/>
  <c r="F483" i="2" s="1"/>
  <c r="B483" i="2"/>
  <c r="A483" i="2"/>
  <c r="K482" i="2"/>
  <c r="J482" i="2"/>
  <c r="L482" i="2" s="1"/>
  <c r="I482" i="2"/>
  <c r="H482" i="2"/>
  <c r="G482" i="2"/>
  <c r="M482" i="2" s="1"/>
  <c r="E482" i="2"/>
  <c r="D482" i="2"/>
  <c r="C482" i="2"/>
  <c r="F482" i="2" s="1"/>
  <c r="B482" i="2"/>
  <c r="A482" i="2"/>
  <c r="K481" i="2"/>
  <c r="J481" i="2"/>
  <c r="I481" i="2"/>
  <c r="H481" i="2"/>
  <c r="G481" i="2"/>
  <c r="E481" i="2"/>
  <c r="D481" i="2"/>
  <c r="C481" i="2"/>
  <c r="F481" i="2" s="1"/>
  <c r="B481" i="2"/>
  <c r="A481" i="2"/>
  <c r="K480" i="2"/>
  <c r="J480" i="2"/>
  <c r="I480" i="2"/>
  <c r="H480" i="2"/>
  <c r="F480" i="2"/>
  <c r="G480" i="2" s="1"/>
  <c r="E480" i="2"/>
  <c r="D480" i="2"/>
  <c r="C480" i="2"/>
  <c r="B480" i="2"/>
  <c r="A480" i="2"/>
  <c r="L479" i="2"/>
  <c r="K479" i="2"/>
  <c r="J479" i="2"/>
  <c r="I479" i="2"/>
  <c r="H479" i="2"/>
  <c r="F479" i="2"/>
  <c r="E479" i="2"/>
  <c r="D479" i="2"/>
  <c r="C479" i="2"/>
  <c r="B479" i="2"/>
  <c r="G479" i="2" s="1"/>
  <c r="A479" i="2"/>
  <c r="K478" i="2"/>
  <c r="J478" i="2"/>
  <c r="I478" i="2"/>
  <c r="L478" i="2" s="1"/>
  <c r="H478" i="2"/>
  <c r="F478" i="2"/>
  <c r="E478" i="2"/>
  <c r="D478" i="2"/>
  <c r="C478" i="2"/>
  <c r="B478" i="2"/>
  <c r="A478" i="2"/>
  <c r="K477" i="2"/>
  <c r="J477" i="2"/>
  <c r="I477" i="2"/>
  <c r="H477" i="2"/>
  <c r="L477" i="2" s="1"/>
  <c r="E477" i="2"/>
  <c r="F477" i="2" s="1"/>
  <c r="D477" i="2"/>
  <c r="C477" i="2"/>
  <c r="B477" i="2"/>
  <c r="A477" i="2"/>
  <c r="K476" i="2"/>
  <c r="J476" i="2"/>
  <c r="I476" i="2"/>
  <c r="H476" i="2"/>
  <c r="L476" i="2" s="1"/>
  <c r="E476" i="2"/>
  <c r="D476" i="2"/>
  <c r="C476" i="2"/>
  <c r="B476" i="2"/>
  <c r="A476" i="2"/>
  <c r="K475" i="2"/>
  <c r="J475" i="2"/>
  <c r="I475" i="2"/>
  <c r="H475" i="2"/>
  <c r="L475" i="2" s="1"/>
  <c r="E475" i="2"/>
  <c r="D475" i="2"/>
  <c r="C475" i="2"/>
  <c r="F475" i="2" s="1"/>
  <c r="B475" i="2"/>
  <c r="A475" i="2"/>
  <c r="K474" i="2"/>
  <c r="J474" i="2"/>
  <c r="I474" i="2"/>
  <c r="H474" i="2"/>
  <c r="L474" i="2" s="1"/>
  <c r="G474" i="2"/>
  <c r="M474" i="2" s="1"/>
  <c r="E474" i="2"/>
  <c r="D474" i="2"/>
  <c r="F474" i="2" s="1"/>
  <c r="C474" i="2"/>
  <c r="B474" i="2"/>
  <c r="A474" i="2"/>
  <c r="K473" i="2"/>
  <c r="J473" i="2"/>
  <c r="I473" i="2"/>
  <c r="H473" i="2"/>
  <c r="L473" i="2" s="1"/>
  <c r="E473" i="2"/>
  <c r="D473" i="2"/>
  <c r="C473" i="2"/>
  <c r="B473" i="2"/>
  <c r="A473" i="2"/>
  <c r="K472" i="2"/>
  <c r="J472" i="2"/>
  <c r="L472" i="2" s="1"/>
  <c r="I472" i="2"/>
  <c r="H472" i="2"/>
  <c r="E472" i="2"/>
  <c r="D472" i="2"/>
  <c r="C472" i="2"/>
  <c r="F472" i="2" s="1"/>
  <c r="B472" i="2"/>
  <c r="G472" i="2" s="1"/>
  <c r="M472" i="2" s="1"/>
  <c r="A472" i="2"/>
  <c r="K471" i="2"/>
  <c r="J471" i="2"/>
  <c r="I471" i="2"/>
  <c r="H471" i="2"/>
  <c r="L471" i="2" s="1"/>
  <c r="E471" i="2"/>
  <c r="D471" i="2"/>
  <c r="F471" i="2" s="1"/>
  <c r="G471" i="2" s="1"/>
  <c r="M471" i="2" s="1"/>
  <c r="C471" i="2"/>
  <c r="B471" i="2"/>
  <c r="A471" i="2"/>
  <c r="K470" i="2"/>
  <c r="J470" i="2"/>
  <c r="I470" i="2"/>
  <c r="H470" i="2"/>
  <c r="E470" i="2"/>
  <c r="D470" i="2"/>
  <c r="C470" i="2"/>
  <c r="F470" i="2" s="1"/>
  <c r="G470" i="2" s="1"/>
  <c r="B470" i="2"/>
  <c r="A470" i="2"/>
  <c r="K469" i="2"/>
  <c r="J469" i="2"/>
  <c r="I469" i="2"/>
  <c r="L469" i="2" s="1"/>
  <c r="H469" i="2"/>
  <c r="F469" i="2"/>
  <c r="E469" i="2"/>
  <c r="D469" i="2"/>
  <c r="C469" i="2"/>
  <c r="B469" i="2"/>
  <c r="A469" i="2"/>
  <c r="K468" i="2"/>
  <c r="J468" i="2"/>
  <c r="I468" i="2"/>
  <c r="L468" i="2" s="1"/>
  <c r="H468" i="2"/>
  <c r="E468" i="2"/>
  <c r="D468" i="2"/>
  <c r="C468" i="2"/>
  <c r="F468" i="2" s="1"/>
  <c r="B468" i="2"/>
  <c r="A468" i="2"/>
  <c r="L467" i="2"/>
  <c r="K467" i="2"/>
  <c r="J467" i="2"/>
  <c r="I467" i="2"/>
  <c r="H467" i="2"/>
  <c r="F467" i="2"/>
  <c r="E467" i="2"/>
  <c r="D467" i="2"/>
  <c r="C467" i="2"/>
  <c r="B467" i="2"/>
  <c r="G467" i="2" s="1"/>
  <c r="M467" i="2" s="1"/>
  <c r="A467" i="2"/>
  <c r="K466" i="2"/>
  <c r="L466" i="2" s="1"/>
  <c r="J466" i="2"/>
  <c r="I466" i="2"/>
  <c r="H466" i="2"/>
  <c r="E466" i="2"/>
  <c r="D466" i="2"/>
  <c r="C466" i="2"/>
  <c r="F466" i="2" s="1"/>
  <c r="B466" i="2"/>
  <c r="G466" i="2" s="1"/>
  <c r="M466" i="2" s="1"/>
  <c r="A466" i="2"/>
  <c r="L465" i="2"/>
  <c r="K465" i="2"/>
  <c r="J465" i="2"/>
  <c r="I465" i="2"/>
  <c r="H465" i="2"/>
  <c r="E465" i="2"/>
  <c r="D465" i="2"/>
  <c r="C465" i="2"/>
  <c r="B465" i="2"/>
  <c r="A465" i="2"/>
  <c r="K464" i="2"/>
  <c r="J464" i="2"/>
  <c r="I464" i="2"/>
  <c r="H464" i="2"/>
  <c r="L464" i="2" s="1"/>
  <c r="E464" i="2"/>
  <c r="F464" i="2" s="1"/>
  <c r="G464" i="2" s="1"/>
  <c r="M464" i="2" s="1"/>
  <c r="D464" i="2"/>
  <c r="C464" i="2"/>
  <c r="B464" i="2"/>
  <c r="A464" i="2"/>
  <c r="K463" i="2"/>
  <c r="J463" i="2"/>
  <c r="I463" i="2"/>
  <c r="H463" i="2"/>
  <c r="E463" i="2"/>
  <c r="D463" i="2"/>
  <c r="C463" i="2"/>
  <c r="F463" i="2" s="1"/>
  <c r="G463" i="2" s="1"/>
  <c r="B463" i="2"/>
  <c r="A463" i="2"/>
  <c r="K462" i="2"/>
  <c r="J462" i="2"/>
  <c r="L462" i="2" s="1"/>
  <c r="I462" i="2"/>
  <c r="H462" i="2"/>
  <c r="F462" i="2"/>
  <c r="G462" i="2" s="1"/>
  <c r="E462" i="2"/>
  <c r="D462" i="2"/>
  <c r="C462" i="2"/>
  <c r="B462" i="2"/>
  <c r="A462" i="2"/>
  <c r="K461" i="2"/>
  <c r="J461" i="2"/>
  <c r="I461" i="2"/>
  <c r="H461" i="2"/>
  <c r="L461" i="2" s="1"/>
  <c r="E461" i="2"/>
  <c r="D461" i="2"/>
  <c r="C461" i="2"/>
  <c r="F461" i="2" s="1"/>
  <c r="G461" i="2" s="1"/>
  <c r="M461" i="2" s="1"/>
  <c r="B461" i="2"/>
  <c r="A461" i="2"/>
  <c r="L460" i="2"/>
  <c r="K460" i="2"/>
  <c r="J460" i="2"/>
  <c r="I460" i="2"/>
  <c r="H460" i="2"/>
  <c r="E460" i="2"/>
  <c r="D460" i="2"/>
  <c r="C460" i="2"/>
  <c r="F460" i="2" s="1"/>
  <c r="B460" i="2"/>
  <c r="G460" i="2" s="1"/>
  <c r="M460" i="2" s="1"/>
  <c r="A460" i="2"/>
  <c r="K459" i="2"/>
  <c r="J459" i="2"/>
  <c r="I459" i="2"/>
  <c r="L459" i="2" s="1"/>
  <c r="H459" i="2"/>
  <c r="E459" i="2"/>
  <c r="D459" i="2"/>
  <c r="C459" i="2"/>
  <c r="F459" i="2" s="1"/>
  <c r="B459" i="2"/>
  <c r="A459" i="2"/>
  <c r="K458" i="2"/>
  <c r="J458" i="2"/>
  <c r="I458" i="2"/>
  <c r="H458" i="2"/>
  <c r="E458" i="2"/>
  <c r="F458" i="2" s="1"/>
  <c r="D458" i="2"/>
  <c r="C458" i="2"/>
  <c r="B458" i="2"/>
  <c r="A458" i="2"/>
  <c r="K457" i="2"/>
  <c r="J457" i="2"/>
  <c r="I457" i="2"/>
  <c r="H457" i="2"/>
  <c r="L457" i="2" s="1"/>
  <c r="E457" i="2"/>
  <c r="F457" i="2" s="1"/>
  <c r="G457" i="2" s="1"/>
  <c r="M457" i="2" s="1"/>
  <c r="D457" i="2"/>
  <c r="C457" i="2"/>
  <c r="B457" i="2"/>
  <c r="A457" i="2"/>
  <c r="L456" i="2"/>
  <c r="K456" i="2"/>
  <c r="J456" i="2"/>
  <c r="I456" i="2"/>
  <c r="H456" i="2"/>
  <c r="E456" i="2"/>
  <c r="D456" i="2"/>
  <c r="C456" i="2"/>
  <c r="B456" i="2"/>
  <c r="A456" i="2"/>
  <c r="M455" i="2"/>
  <c r="K455" i="2"/>
  <c r="L455" i="2" s="1"/>
  <c r="J455" i="2"/>
  <c r="I455" i="2"/>
  <c r="H455" i="2"/>
  <c r="E455" i="2"/>
  <c r="D455" i="2"/>
  <c r="C455" i="2"/>
  <c r="F455" i="2" s="1"/>
  <c r="B455" i="2"/>
  <c r="G455" i="2" s="1"/>
  <c r="A455" i="2"/>
  <c r="K454" i="2"/>
  <c r="J454" i="2"/>
  <c r="I454" i="2"/>
  <c r="H454" i="2"/>
  <c r="E454" i="2"/>
  <c r="D454" i="2"/>
  <c r="F454" i="2" s="1"/>
  <c r="G454" i="2" s="1"/>
  <c r="C454" i="2"/>
  <c r="B454" i="2"/>
  <c r="A454" i="2"/>
  <c r="K453" i="2"/>
  <c r="J453" i="2"/>
  <c r="I453" i="2"/>
  <c r="H453" i="2"/>
  <c r="E453" i="2"/>
  <c r="D453" i="2"/>
  <c r="C453" i="2"/>
  <c r="B453" i="2"/>
  <c r="A453" i="2"/>
  <c r="K452" i="2"/>
  <c r="J452" i="2"/>
  <c r="L452" i="2" s="1"/>
  <c r="I452" i="2"/>
  <c r="H452" i="2"/>
  <c r="G452" i="2"/>
  <c r="E452" i="2"/>
  <c r="D452" i="2"/>
  <c r="F452" i="2" s="1"/>
  <c r="C452" i="2"/>
  <c r="B452" i="2"/>
  <c r="A452" i="2"/>
  <c r="K451" i="2"/>
  <c r="J451" i="2"/>
  <c r="I451" i="2"/>
  <c r="H451" i="2"/>
  <c r="F451" i="2"/>
  <c r="G451" i="2" s="1"/>
  <c r="E451" i="2"/>
  <c r="D451" i="2"/>
  <c r="C451" i="2"/>
  <c r="B451" i="2"/>
  <c r="A451" i="2"/>
  <c r="K450" i="2"/>
  <c r="J450" i="2"/>
  <c r="I450" i="2"/>
  <c r="L450" i="2" s="1"/>
  <c r="H450" i="2"/>
  <c r="F450" i="2"/>
  <c r="E450" i="2"/>
  <c r="D450" i="2"/>
  <c r="C450" i="2"/>
  <c r="B450" i="2"/>
  <c r="G450" i="2" s="1"/>
  <c r="A450" i="2"/>
  <c r="L449" i="2"/>
  <c r="K449" i="2"/>
  <c r="J449" i="2"/>
  <c r="I449" i="2"/>
  <c r="H449" i="2"/>
  <c r="E449" i="2"/>
  <c r="D449" i="2"/>
  <c r="C449" i="2"/>
  <c r="F449" i="2" s="1"/>
  <c r="B449" i="2"/>
  <c r="A449" i="2"/>
  <c r="K448" i="2"/>
  <c r="J448" i="2"/>
  <c r="I448" i="2"/>
  <c r="H448" i="2"/>
  <c r="L448" i="2" s="1"/>
  <c r="E448" i="2"/>
  <c r="D448" i="2"/>
  <c r="C448" i="2"/>
  <c r="F448" i="2" s="1"/>
  <c r="B448" i="2"/>
  <c r="A448" i="2"/>
  <c r="K447" i="2"/>
  <c r="J447" i="2"/>
  <c r="I447" i="2"/>
  <c r="H447" i="2"/>
  <c r="L447" i="2" s="1"/>
  <c r="E447" i="2"/>
  <c r="F447" i="2" s="1"/>
  <c r="D447" i="2"/>
  <c r="C447" i="2"/>
  <c r="B447" i="2"/>
  <c r="G447" i="2" s="1"/>
  <c r="A447" i="2"/>
  <c r="K446" i="2"/>
  <c r="J446" i="2"/>
  <c r="I446" i="2"/>
  <c r="H446" i="2"/>
  <c r="E446" i="2"/>
  <c r="D446" i="2"/>
  <c r="C446" i="2"/>
  <c r="B446" i="2"/>
  <c r="A446" i="2"/>
  <c r="K445" i="2"/>
  <c r="J445" i="2"/>
  <c r="I445" i="2"/>
  <c r="H445" i="2"/>
  <c r="L445" i="2" s="1"/>
  <c r="E445" i="2"/>
  <c r="D445" i="2"/>
  <c r="C445" i="2"/>
  <c r="B445" i="2"/>
  <c r="A445" i="2"/>
  <c r="K444" i="2"/>
  <c r="J444" i="2"/>
  <c r="I444" i="2"/>
  <c r="H444" i="2"/>
  <c r="L444" i="2" s="1"/>
  <c r="E444" i="2"/>
  <c r="D444" i="2"/>
  <c r="F444" i="2" s="1"/>
  <c r="G444" i="2" s="1"/>
  <c r="C444" i="2"/>
  <c r="B444" i="2"/>
  <c r="A444" i="2"/>
  <c r="K443" i="2"/>
  <c r="J443" i="2"/>
  <c r="I443" i="2"/>
  <c r="H443" i="2"/>
  <c r="G443" i="2"/>
  <c r="E443" i="2"/>
  <c r="D443" i="2"/>
  <c r="C443" i="2"/>
  <c r="F443" i="2" s="1"/>
  <c r="B443" i="2"/>
  <c r="A443" i="2"/>
  <c r="L442" i="2"/>
  <c r="K442" i="2"/>
  <c r="J442" i="2"/>
  <c r="I442" i="2"/>
  <c r="H442" i="2"/>
  <c r="E442" i="2"/>
  <c r="D442" i="2"/>
  <c r="C442" i="2"/>
  <c r="F442" i="2" s="1"/>
  <c r="B442" i="2"/>
  <c r="A442" i="2"/>
  <c r="K441" i="2"/>
  <c r="J441" i="2"/>
  <c r="I441" i="2"/>
  <c r="H441" i="2"/>
  <c r="L441" i="2" s="1"/>
  <c r="G441" i="2"/>
  <c r="M441" i="2" s="1"/>
  <c r="E441" i="2"/>
  <c r="D441" i="2"/>
  <c r="F441" i="2" s="1"/>
  <c r="C441" i="2"/>
  <c r="B441" i="2"/>
  <c r="A441" i="2"/>
  <c r="K440" i="2"/>
  <c r="J440" i="2"/>
  <c r="I440" i="2"/>
  <c r="H440" i="2"/>
  <c r="L440" i="2" s="1"/>
  <c r="G440" i="2"/>
  <c r="M440" i="2" s="1"/>
  <c r="E440" i="2"/>
  <c r="D440" i="2"/>
  <c r="C440" i="2"/>
  <c r="F440" i="2" s="1"/>
  <c r="B440" i="2"/>
  <c r="A440" i="2"/>
  <c r="K439" i="2"/>
  <c r="J439" i="2"/>
  <c r="L439" i="2" s="1"/>
  <c r="I439" i="2"/>
  <c r="H439" i="2"/>
  <c r="F439" i="2"/>
  <c r="E439" i="2"/>
  <c r="D439" i="2"/>
  <c r="C439" i="2"/>
  <c r="B439" i="2"/>
  <c r="G439" i="2" s="1"/>
  <c r="M439" i="2" s="1"/>
  <c r="A439" i="2"/>
  <c r="L438" i="2"/>
  <c r="K438" i="2"/>
  <c r="J438" i="2"/>
  <c r="I438" i="2"/>
  <c r="H438" i="2"/>
  <c r="E438" i="2"/>
  <c r="D438" i="2"/>
  <c r="C438" i="2"/>
  <c r="B438" i="2"/>
  <c r="A438" i="2"/>
  <c r="K437" i="2"/>
  <c r="J437" i="2"/>
  <c r="I437" i="2"/>
  <c r="H437" i="2"/>
  <c r="L437" i="2" s="1"/>
  <c r="F437" i="2"/>
  <c r="G437" i="2" s="1"/>
  <c r="E437" i="2"/>
  <c r="D437" i="2"/>
  <c r="C437" i="2"/>
  <c r="B437" i="2"/>
  <c r="A437" i="2"/>
  <c r="K436" i="2"/>
  <c r="J436" i="2"/>
  <c r="I436" i="2"/>
  <c r="H436" i="2"/>
  <c r="L436" i="2" s="1"/>
  <c r="E436" i="2"/>
  <c r="D436" i="2"/>
  <c r="C436" i="2"/>
  <c r="F436" i="2" s="1"/>
  <c r="B436" i="2"/>
  <c r="A436" i="2"/>
  <c r="K435" i="2"/>
  <c r="J435" i="2"/>
  <c r="I435" i="2"/>
  <c r="H435" i="2"/>
  <c r="L435" i="2" s="1"/>
  <c r="E435" i="2"/>
  <c r="D435" i="2"/>
  <c r="C435" i="2"/>
  <c r="B435" i="2"/>
  <c r="A435" i="2"/>
  <c r="K434" i="2"/>
  <c r="J434" i="2"/>
  <c r="I434" i="2"/>
  <c r="H434" i="2"/>
  <c r="F434" i="2"/>
  <c r="G434" i="2" s="1"/>
  <c r="E434" i="2"/>
  <c r="D434" i="2"/>
  <c r="C434" i="2"/>
  <c r="B434" i="2"/>
  <c r="A434" i="2"/>
  <c r="K433" i="2"/>
  <c r="J433" i="2"/>
  <c r="I433" i="2"/>
  <c r="H433" i="2"/>
  <c r="L433" i="2" s="1"/>
  <c r="E433" i="2"/>
  <c r="D433" i="2"/>
  <c r="C433" i="2"/>
  <c r="B433" i="2"/>
  <c r="A433" i="2"/>
  <c r="K432" i="2"/>
  <c r="J432" i="2"/>
  <c r="L432" i="2" s="1"/>
  <c r="I432" i="2"/>
  <c r="H432" i="2"/>
  <c r="E432" i="2"/>
  <c r="D432" i="2"/>
  <c r="C432" i="2"/>
  <c r="F432" i="2" s="1"/>
  <c r="G432" i="2" s="1"/>
  <c r="M432" i="2" s="1"/>
  <c r="B432" i="2"/>
  <c r="A432" i="2"/>
  <c r="K431" i="2"/>
  <c r="J431" i="2"/>
  <c r="I431" i="2"/>
  <c r="H431" i="2"/>
  <c r="E431" i="2"/>
  <c r="D431" i="2"/>
  <c r="C431" i="2"/>
  <c r="F431" i="2" s="1"/>
  <c r="G431" i="2" s="1"/>
  <c r="B431" i="2"/>
  <c r="A431" i="2"/>
  <c r="K430" i="2"/>
  <c r="J430" i="2"/>
  <c r="I430" i="2"/>
  <c r="H430" i="2"/>
  <c r="L430" i="2" s="1"/>
  <c r="F430" i="2"/>
  <c r="E430" i="2"/>
  <c r="D430" i="2"/>
  <c r="C430" i="2"/>
  <c r="B430" i="2"/>
  <c r="G430" i="2" s="1"/>
  <c r="M430" i="2" s="1"/>
  <c r="A430" i="2"/>
  <c r="K429" i="2"/>
  <c r="J429" i="2"/>
  <c r="I429" i="2"/>
  <c r="L429" i="2" s="1"/>
  <c r="H429" i="2"/>
  <c r="E429" i="2"/>
  <c r="D429" i="2"/>
  <c r="C429" i="2"/>
  <c r="F429" i="2" s="1"/>
  <c r="B429" i="2"/>
  <c r="A429" i="2"/>
  <c r="L428" i="2"/>
  <c r="K428" i="2"/>
  <c r="J428" i="2"/>
  <c r="I428" i="2"/>
  <c r="H428" i="2"/>
  <c r="E428" i="2"/>
  <c r="D428" i="2"/>
  <c r="C428" i="2"/>
  <c r="F428" i="2" s="1"/>
  <c r="B428" i="2"/>
  <c r="G428" i="2" s="1"/>
  <c r="M428" i="2" s="1"/>
  <c r="A428" i="2"/>
  <c r="K427" i="2"/>
  <c r="L427" i="2" s="1"/>
  <c r="J427" i="2"/>
  <c r="I427" i="2"/>
  <c r="H427" i="2"/>
  <c r="E427" i="2"/>
  <c r="F427" i="2" s="1"/>
  <c r="D427" i="2"/>
  <c r="C427" i="2"/>
  <c r="B427" i="2"/>
  <c r="G427" i="2" s="1"/>
  <c r="M427" i="2" s="1"/>
  <c r="A427" i="2"/>
  <c r="K426" i="2"/>
  <c r="J426" i="2"/>
  <c r="I426" i="2"/>
  <c r="H426" i="2"/>
  <c r="L426" i="2" s="1"/>
  <c r="E426" i="2"/>
  <c r="D426" i="2"/>
  <c r="C426" i="2"/>
  <c r="B426" i="2"/>
  <c r="A426" i="2"/>
  <c r="K425" i="2"/>
  <c r="J425" i="2"/>
  <c r="I425" i="2"/>
  <c r="H425" i="2"/>
  <c r="L425" i="2" s="1"/>
  <c r="E425" i="2"/>
  <c r="D425" i="2"/>
  <c r="C425" i="2"/>
  <c r="F425" i="2" s="1"/>
  <c r="G425" i="2" s="1"/>
  <c r="M425" i="2" s="1"/>
  <c r="B425" i="2"/>
  <c r="A425" i="2"/>
  <c r="K424" i="2"/>
  <c r="J424" i="2"/>
  <c r="I424" i="2"/>
  <c r="H424" i="2"/>
  <c r="L424" i="2" s="1"/>
  <c r="E424" i="2"/>
  <c r="D424" i="2"/>
  <c r="F424" i="2" s="1"/>
  <c r="G424" i="2" s="1"/>
  <c r="M424" i="2" s="1"/>
  <c r="C424" i="2"/>
  <c r="B424" i="2"/>
  <c r="A424" i="2"/>
  <c r="K423" i="2"/>
  <c r="J423" i="2"/>
  <c r="I423" i="2"/>
  <c r="H423" i="2"/>
  <c r="G423" i="2"/>
  <c r="E423" i="2"/>
  <c r="D423" i="2"/>
  <c r="C423" i="2"/>
  <c r="F423" i="2" s="1"/>
  <c r="B423" i="2"/>
  <c r="A423" i="2"/>
  <c r="K422" i="2"/>
  <c r="L422" i="2" s="1"/>
  <c r="J422" i="2"/>
  <c r="I422" i="2"/>
  <c r="H422" i="2"/>
  <c r="E422" i="2"/>
  <c r="D422" i="2"/>
  <c r="C422" i="2"/>
  <c r="F422" i="2" s="1"/>
  <c r="B422" i="2"/>
  <c r="G422" i="2" s="1"/>
  <c r="A422" i="2"/>
  <c r="K421" i="2"/>
  <c r="J421" i="2"/>
  <c r="I421" i="2"/>
  <c r="H421" i="2"/>
  <c r="E421" i="2"/>
  <c r="D421" i="2"/>
  <c r="C421" i="2"/>
  <c r="F421" i="2" s="1"/>
  <c r="G421" i="2" s="1"/>
  <c r="B421" i="2"/>
  <c r="A421" i="2"/>
  <c r="K420" i="2"/>
  <c r="J420" i="2"/>
  <c r="I420" i="2"/>
  <c r="H420" i="2"/>
  <c r="L420" i="2" s="1"/>
  <c r="E420" i="2"/>
  <c r="D420" i="2"/>
  <c r="C420" i="2"/>
  <c r="F420" i="2" s="1"/>
  <c r="G420" i="2" s="1"/>
  <c r="M420" i="2" s="1"/>
  <c r="B420" i="2"/>
  <c r="A420" i="2"/>
  <c r="K419" i="2"/>
  <c r="J419" i="2"/>
  <c r="I419" i="2"/>
  <c r="L419" i="2" s="1"/>
  <c r="H419" i="2"/>
  <c r="E419" i="2"/>
  <c r="F419" i="2" s="1"/>
  <c r="D419" i="2"/>
  <c r="C419" i="2"/>
  <c r="B419" i="2"/>
  <c r="A419" i="2"/>
  <c r="K418" i="2"/>
  <c r="J418" i="2"/>
  <c r="I418" i="2"/>
  <c r="H418" i="2"/>
  <c r="E418" i="2"/>
  <c r="D418" i="2"/>
  <c r="C418" i="2"/>
  <c r="F418" i="2" s="1"/>
  <c r="B418" i="2"/>
  <c r="A418" i="2"/>
  <c r="L417" i="2"/>
  <c r="K417" i="2"/>
  <c r="J417" i="2"/>
  <c r="I417" i="2"/>
  <c r="H417" i="2"/>
  <c r="F417" i="2"/>
  <c r="E417" i="2"/>
  <c r="D417" i="2"/>
  <c r="C417" i="2"/>
  <c r="B417" i="2"/>
  <c r="G417" i="2" s="1"/>
  <c r="A417" i="2"/>
  <c r="K416" i="2"/>
  <c r="L416" i="2" s="1"/>
  <c r="J416" i="2"/>
  <c r="I416" i="2"/>
  <c r="H416" i="2"/>
  <c r="E416" i="2"/>
  <c r="D416" i="2"/>
  <c r="C416" i="2"/>
  <c r="F416" i="2" s="1"/>
  <c r="B416" i="2"/>
  <c r="G416" i="2" s="1"/>
  <c r="A416" i="2"/>
  <c r="L415" i="2"/>
  <c r="K415" i="2"/>
  <c r="J415" i="2"/>
  <c r="I415" i="2"/>
  <c r="H415" i="2"/>
  <c r="E415" i="2"/>
  <c r="D415" i="2"/>
  <c r="C415" i="2"/>
  <c r="B415" i="2"/>
  <c r="A415" i="2"/>
  <c r="K414" i="2"/>
  <c r="J414" i="2"/>
  <c r="I414" i="2"/>
  <c r="H414" i="2"/>
  <c r="L414" i="2" s="1"/>
  <c r="E414" i="2"/>
  <c r="F414" i="2" s="1"/>
  <c r="G414" i="2" s="1"/>
  <c r="M414" i="2" s="1"/>
  <c r="D414" i="2"/>
  <c r="C414" i="2"/>
  <c r="B414" i="2"/>
  <c r="A414" i="2"/>
  <c r="K413" i="2"/>
  <c r="J413" i="2"/>
  <c r="I413" i="2"/>
  <c r="H413" i="2"/>
  <c r="L413" i="2" s="1"/>
  <c r="E413" i="2"/>
  <c r="D413" i="2"/>
  <c r="C413" i="2"/>
  <c r="F413" i="2" s="1"/>
  <c r="G413" i="2" s="1"/>
  <c r="M413" i="2" s="1"/>
  <c r="B413" i="2"/>
  <c r="A413" i="2"/>
  <c r="K412" i="2"/>
  <c r="J412" i="2"/>
  <c r="L412" i="2" s="1"/>
  <c r="I412" i="2"/>
  <c r="H412" i="2"/>
  <c r="F412" i="2"/>
  <c r="G412" i="2" s="1"/>
  <c r="M412" i="2" s="1"/>
  <c r="E412" i="2"/>
  <c r="D412" i="2"/>
  <c r="C412" i="2"/>
  <c r="B412" i="2"/>
  <c r="A412" i="2"/>
  <c r="K411" i="2"/>
  <c r="J411" i="2"/>
  <c r="I411" i="2"/>
  <c r="H411" i="2"/>
  <c r="L411" i="2" s="1"/>
  <c r="E411" i="2"/>
  <c r="D411" i="2"/>
  <c r="C411" i="2"/>
  <c r="F411" i="2" s="1"/>
  <c r="G411" i="2" s="1"/>
  <c r="M411" i="2" s="1"/>
  <c r="B411" i="2"/>
  <c r="A411" i="2"/>
  <c r="L410" i="2"/>
  <c r="K410" i="2"/>
  <c r="J410" i="2"/>
  <c r="I410" i="2"/>
  <c r="H410" i="2"/>
  <c r="E410" i="2"/>
  <c r="D410" i="2"/>
  <c r="C410" i="2"/>
  <c r="F410" i="2" s="1"/>
  <c r="B410" i="2"/>
  <c r="G410" i="2" s="1"/>
  <c r="A410" i="2"/>
  <c r="K409" i="2"/>
  <c r="J409" i="2"/>
  <c r="I409" i="2"/>
  <c r="L409" i="2" s="1"/>
  <c r="H409" i="2"/>
  <c r="E409" i="2"/>
  <c r="D409" i="2"/>
  <c r="C409" i="2"/>
  <c r="F409" i="2" s="1"/>
  <c r="B409" i="2"/>
  <c r="A409" i="2"/>
  <c r="K408" i="2"/>
  <c r="J408" i="2"/>
  <c r="I408" i="2"/>
  <c r="H408" i="2"/>
  <c r="E408" i="2"/>
  <c r="F408" i="2" s="1"/>
  <c r="D408" i="2"/>
  <c r="C408" i="2"/>
  <c r="B408" i="2"/>
  <c r="A408" i="2"/>
  <c r="K407" i="2"/>
  <c r="J407" i="2"/>
  <c r="I407" i="2"/>
  <c r="H407" i="2"/>
  <c r="L407" i="2" s="1"/>
  <c r="E407" i="2"/>
  <c r="F407" i="2" s="1"/>
  <c r="G407" i="2" s="1"/>
  <c r="M407" i="2" s="1"/>
  <c r="D407" i="2"/>
  <c r="C407" i="2"/>
  <c r="B407" i="2"/>
  <c r="A407" i="2"/>
  <c r="L406" i="2"/>
  <c r="K406" i="2"/>
  <c r="J406" i="2"/>
  <c r="I406" i="2"/>
  <c r="H406" i="2"/>
  <c r="E406" i="2"/>
  <c r="D406" i="2"/>
  <c r="C406" i="2"/>
  <c r="B406" i="2"/>
  <c r="A406" i="2"/>
  <c r="K405" i="2"/>
  <c r="L405" i="2" s="1"/>
  <c r="M405" i="2" s="1"/>
  <c r="J405" i="2"/>
  <c r="I405" i="2"/>
  <c r="H405" i="2"/>
  <c r="E405" i="2"/>
  <c r="D405" i="2"/>
  <c r="C405" i="2"/>
  <c r="F405" i="2" s="1"/>
  <c r="B405" i="2"/>
  <c r="G405" i="2" s="1"/>
  <c r="A405" i="2"/>
  <c r="K404" i="2"/>
  <c r="J404" i="2"/>
  <c r="I404" i="2"/>
  <c r="H404" i="2"/>
  <c r="E404" i="2"/>
  <c r="D404" i="2"/>
  <c r="F404" i="2" s="1"/>
  <c r="G404" i="2" s="1"/>
  <c r="C404" i="2"/>
  <c r="B404" i="2"/>
  <c r="A404" i="2"/>
  <c r="K403" i="2"/>
  <c r="J403" i="2"/>
  <c r="I403" i="2"/>
  <c r="H403" i="2"/>
  <c r="E403" i="2"/>
  <c r="D403" i="2"/>
  <c r="C403" i="2"/>
  <c r="B403" i="2"/>
  <c r="A403" i="2"/>
  <c r="K402" i="2"/>
  <c r="J402" i="2"/>
  <c r="L402" i="2" s="1"/>
  <c r="I402" i="2"/>
  <c r="H402" i="2"/>
  <c r="E402" i="2"/>
  <c r="D402" i="2"/>
  <c r="F402" i="2" s="1"/>
  <c r="G402" i="2" s="1"/>
  <c r="M402" i="2" s="1"/>
  <c r="C402" i="2"/>
  <c r="B402" i="2"/>
  <c r="A402" i="2"/>
  <c r="K401" i="2"/>
  <c r="J401" i="2"/>
  <c r="I401" i="2"/>
  <c r="H401" i="2"/>
  <c r="F401" i="2"/>
  <c r="G401" i="2" s="1"/>
  <c r="E401" i="2"/>
  <c r="D401" i="2"/>
  <c r="C401" i="2"/>
  <c r="B401" i="2"/>
  <c r="A401" i="2"/>
  <c r="L400" i="2"/>
  <c r="K400" i="2"/>
  <c r="J400" i="2"/>
  <c r="I400" i="2"/>
  <c r="H400" i="2"/>
  <c r="F400" i="2"/>
  <c r="E400" i="2"/>
  <c r="D400" i="2"/>
  <c r="C400" i="2"/>
  <c r="B400" i="2"/>
  <c r="G400" i="2" s="1"/>
  <c r="M400" i="2" s="1"/>
  <c r="A400" i="2"/>
  <c r="L399" i="2"/>
  <c r="K399" i="2"/>
  <c r="J399" i="2"/>
  <c r="I399" i="2"/>
  <c r="H399" i="2"/>
  <c r="E399" i="2"/>
  <c r="D399" i="2"/>
  <c r="C399" i="2"/>
  <c r="F399" i="2" s="1"/>
  <c r="B399" i="2"/>
  <c r="A399" i="2"/>
  <c r="K398" i="2"/>
  <c r="J398" i="2"/>
  <c r="I398" i="2"/>
  <c r="H398" i="2"/>
  <c r="L398" i="2" s="1"/>
  <c r="E398" i="2"/>
  <c r="D398" i="2"/>
  <c r="C398" i="2"/>
  <c r="F398" i="2" s="1"/>
  <c r="B398" i="2"/>
  <c r="A398" i="2"/>
  <c r="K397" i="2"/>
  <c r="J397" i="2"/>
  <c r="I397" i="2"/>
  <c r="H397" i="2"/>
  <c r="L397" i="2" s="1"/>
  <c r="E397" i="2"/>
  <c r="F397" i="2" s="1"/>
  <c r="D397" i="2"/>
  <c r="C397" i="2"/>
  <c r="B397" i="2"/>
  <c r="A397" i="2"/>
  <c r="K396" i="2"/>
  <c r="J396" i="2"/>
  <c r="I396" i="2"/>
  <c r="H396" i="2"/>
  <c r="L396" i="2" s="1"/>
  <c r="E396" i="2"/>
  <c r="D396" i="2"/>
  <c r="C396" i="2"/>
  <c r="B396" i="2"/>
  <c r="A396" i="2"/>
  <c r="K395" i="2"/>
  <c r="J395" i="2"/>
  <c r="I395" i="2"/>
  <c r="H395" i="2"/>
  <c r="E395" i="2"/>
  <c r="D395" i="2"/>
  <c r="C395" i="2"/>
  <c r="B395" i="2"/>
  <c r="A395" i="2"/>
  <c r="K394" i="2"/>
  <c r="J394" i="2"/>
  <c r="I394" i="2"/>
  <c r="H394" i="2"/>
  <c r="E394" i="2"/>
  <c r="D394" i="2"/>
  <c r="F394" i="2" s="1"/>
  <c r="G394" i="2" s="1"/>
  <c r="C394" i="2"/>
  <c r="B394" i="2"/>
  <c r="A394" i="2"/>
  <c r="K393" i="2"/>
  <c r="J393" i="2"/>
  <c r="I393" i="2"/>
  <c r="H393" i="2"/>
  <c r="G393" i="2"/>
  <c r="E393" i="2"/>
  <c r="D393" i="2"/>
  <c r="C393" i="2"/>
  <c r="F393" i="2" s="1"/>
  <c r="B393" i="2"/>
  <c r="A393" i="2"/>
  <c r="M392" i="2"/>
  <c r="L392" i="2"/>
  <c r="K392" i="2"/>
  <c r="J392" i="2"/>
  <c r="I392" i="2"/>
  <c r="H392" i="2"/>
  <c r="E392" i="2"/>
  <c r="D392" i="2"/>
  <c r="C392" i="2"/>
  <c r="F392" i="2" s="1"/>
  <c r="B392" i="2"/>
  <c r="G392" i="2" s="1"/>
  <c r="A392" i="2"/>
  <c r="K391" i="2"/>
  <c r="J391" i="2"/>
  <c r="I391" i="2"/>
  <c r="H391" i="2"/>
  <c r="L391" i="2" s="1"/>
  <c r="E391" i="2"/>
  <c r="D391" i="2"/>
  <c r="F391" i="2" s="1"/>
  <c r="G391" i="2" s="1"/>
  <c r="M391" i="2" s="1"/>
  <c r="C391" i="2"/>
  <c r="B391" i="2"/>
  <c r="A391" i="2"/>
  <c r="K390" i="2"/>
  <c r="J390" i="2"/>
  <c r="I390" i="2"/>
  <c r="H390" i="2"/>
  <c r="E390" i="2"/>
  <c r="D390" i="2"/>
  <c r="C390" i="2"/>
  <c r="F390" i="2" s="1"/>
  <c r="G390" i="2" s="1"/>
  <c r="B390" i="2"/>
  <c r="A390" i="2"/>
  <c r="K389" i="2"/>
  <c r="J389" i="2"/>
  <c r="I389" i="2"/>
  <c r="H389" i="2"/>
  <c r="F389" i="2"/>
  <c r="E389" i="2"/>
  <c r="D389" i="2"/>
  <c r="C389" i="2"/>
  <c r="B389" i="2"/>
  <c r="G389" i="2" s="1"/>
  <c r="A389" i="2"/>
  <c r="L388" i="2"/>
  <c r="K388" i="2"/>
  <c r="J388" i="2"/>
  <c r="I388" i="2"/>
  <c r="H388" i="2"/>
  <c r="E388" i="2"/>
  <c r="D388" i="2"/>
  <c r="C388" i="2"/>
  <c r="F388" i="2" s="1"/>
  <c r="B388" i="2"/>
  <c r="A388" i="2"/>
  <c r="K387" i="2"/>
  <c r="J387" i="2"/>
  <c r="I387" i="2"/>
  <c r="H387" i="2"/>
  <c r="L387" i="2" s="1"/>
  <c r="F387" i="2"/>
  <c r="G387" i="2" s="1"/>
  <c r="M387" i="2" s="1"/>
  <c r="E387" i="2"/>
  <c r="D387" i="2"/>
  <c r="C387" i="2"/>
  <c r="B387" i="2"/>
  <c r="A387" i="2"/>
  <c r="K386" i="2"/>
  <c r="J386" i="2"/>
  <c r="I386" i="2"/>
  <c r="H386" i="2"/>
  <c r="L386" i="2" s="1"/>
  <c r="E386" i="2"/>
  <c r="D386" i="2"/>
  <c r="C386" i="2"/>
  <c r="F386" i="2" s="1"/>
  <c r="B386" i="2"/>
  <c r="A386" i="2"/>
  <c r="K385" i="2"/>
  <c r="J385" i="2"/>
  <c r="I385" i="2"/>
  <c r="H385" i="2"/>
  <c r="L385" i="2" s="1"/>
  <c r="E385" i="2"/>
  <c r="D385" i="2"/>
  <c r="C385" i="2"/>
  <c r="B385" i="2"/>
  <c r="A385" i="2"/>
  <c r="K384" i="2"/>
  <c r="J384" i="2"/>
  <c r="I384" i="2"/>
  <c r="H384" i="2"/>
  <c r="F384" i="2"/>
  <c r="G384" i="2" s="1"/>
  <c r="E384" i="2"/>
  <c r="D384" i="2"/>
  <c r="C384" i="2"/>
  <c r="B384" i="2"/>
  <c r="A384" i="2"/>
  <c r="K383" i="2"/>
  <c r="J383" i="2"/>
  <c r="I383" i="2"/>
  <c r="H383" i="2"/>
  <c r="E383" i="2"/>
  <c r="D383" i="2"/>
  <c r="C383" i="2"/>
  <c r="B383" i="2"/>
  <c r="A383" i="2"/>
  <c r="K382" i="2"/>
  <c r="J382" i="2"/>
  <c r="I382" i="2"/>
  <c r="H382" i="2"/>
  <c r="E382" i="2"/>
  <c r="D382" i="2"/>
  <c r="C382" i="2"/>
  <c r="F382" i="2" s="1"/>
  <c r="G382" i="2" s="1"/>
  <c r="B382" i="2"/>
  <c r="A382" i="2"/>
  <c r="K381" i="2"/>
  <c r="J381" i="2"/>
  <c r="I381" i="2"/>
  <c r="H381" i="2"/>
  <c r="E381" i="2"/>
  <c r="D381" i="2"/>
  <c r="C381" i="2"/>
  <c r="F381" i="2" s="1"/>
  <c r="G381" i="2" s="1"/>
  <c r="B381" i="2"/>
  <c r="A381" i="2"/>
  <c r="K380" i="2"/>
  <c r="J380" i="2"/>
  <c r="I380" i="2"/>
  <c r="H380" i="2"/>
  <c r="L380" i="2" s="1"/>
  <c r="F380" i="2"/>
  <c r="E380" i="2"/>
  <c r="D380" i="2"/>
  <c r="C380" i="2"/>
  <c r="B380" i="2"/>
  <c r="G380" i="2" s="1"/>
  <c r="M380" i="2" s="1"/>
  <c r="A380" i="2"/>
  <c r="K379" i="2"/>
  <c r="J379" i="2"/>
  <c r="I379" i="2"/>
  <c r="H379" i="2"/>
  <c r="E379" i="2"/>
  <c r="D379" i="2"/>
  <c r="C379" i="2"/>
  <c r="F379" i="2" s="1"/>
  <c r="B379" i="2"/>
  <c r="A379" i="2"/>
  <c r="M378" i="2"/>
  <c r="L378" i="2"/>
  <c r="K378" i="2"/>
  <c r="J378" i="2"/>
  <c r="I378" i="2"/>
  <c r="H378" i="2"/>
  <c r="E378" i="2"/>
  <c r="D378" i="2"/>
  <c r="C378" i="2"/>
  <c r="F378" i="2" s="1"/>
  <c r="G378" i="2" s="1"/>
  <c r="B378" i="2"/>
  <c r="A378" i="2"/>
  <c r="L377" i="2"/>
  <c r="K377" i="2"/>
  <c r="J377" i="2"/>
  <c r="I377" i="2"/>
  <c r="H377" i="2"/>
  <c r="E377" i="2"/>
  <c r="F377" i="2" s="1"/>
  <c r="D377" i="2"/>
  <c r="C377" i="2"/>
  <c r="B377" i="2"/>
  <c r="G377" i="2" s="1"/>
  <c r="M377" i="2" s="1"/>
  <c r="A377" i="2"/>
  <c r="K376" i="2"/>
  <c r="J376" i="2"/>
  <c r="I376" i="2"/>
  <c r="H376" i="2"/>
  <c r="L376" i="2" s="1"/>
  <c r="E376" i="2"/>
  <c r="D376" i="2"/>
  <c r="C376" i="2"/>
  <c r="F376" i="2" s="1"/>
  <c r="B376" i="2"/>
  <c r="A376" i="2"/>
  <c r="K375" i="2"/>
  <c r="J375" i="2"/>
  <c r="I375" i="2"/>
  <c r="H375" i="2"/>
  <c r="L375" i="2" s="1"/>
  <c r="F375" i="2"/>
  <c r="G375" i="2" s="1"/>
  <c r="M375" i="2" s="1"/>
  <c r="E375" i="2"/>
  <c r="D375" i="2"/>
  <c r="C375" i="2"/>
  <c r="B375" i="2"/>
  <c r="A375" i="2"/>
  <c r="K374" i="2"/>
  <c r="J374" i="2"/>
  <c r="I374" i="2"/>
  <c r="H374" i="2"/>
  <c r="E374" i="2"/>
  <c r="D374" i="2"/>
  <c r="F374" i="2" s="1"/>
  <c r="G374" i="2" s="1"/>
  <c r="C374" i="2"/>
  <c r="B374" i="2"/>
  <c r="A374" i="2"/>
  <c r="K373" i="2"/>
  <c r="J373" i="2"/>
  <c r="I373" i="2"/>
  <c r="H373" i="2"/>
  <c r="E373" i="2"/>
  <c r="D373" i="2"/>
  <c r="C373" i="2"/>
  <c r="F373" i="2" s="1"/>
  <c r="B373" i="2"/>
  <c r="G373" i="2" s="1"/>
  <c r="A373" i="2"/>
  <c r="L372" i="2"/>
  <c r="K372" i="2"/>
  <c r="J372" i="2"/>
  <c r="I372" i="2"/>
  <c r="H372" i="2"/>
  <c r="E372" i="2"/>
  <c r="D372" i="2"/>
  <c r="C372" i="2"/>
  <c r="F372" i="2" s="1"/>
  <c r="B372" i="2"/>
  <c r="A372" i="2"/>
  <c r="K371" i="2"/>
  <c r="J371" i="2"/>
  <c r="I371" i="2"/>
  <c r="H371" i="2"/>
  <c r="L371" i="2" s="1"/>
  <c r="E371" i="2"/>
  <c r="D371" i="2"/>
  <c r="F371" i="2" s="1"/>
  <c r="G371" i="2" s="1"/>
  <c r="M371" i="2" s="1"/>
  <c r="C371" i="2"/>
  <c r="B371" i="2"/>
  <c r="A371" i="2"/>
  <c r="K370" i="2"/>
  <c r="J370" i="2"/>
  <c r="I370" i="2"/>
  <c r="H370" i="2"/>
  <c r="L370" i="2" s="1"/>
  <c r="E370" i="2"/>
  <c r="D370" i="2"/>
  <c r="C370" i="2"/>
  <c r="F370" i="2" s="1"/>
  <c r="G370" i="2" s="1"/>
  <c r="M370" i="2" s="1"/>
  <c r="B370" i="2"/>
  <c r="A370" i="2"/>
  <c r="K369" i="2"/>
  <c r="J369" i="2"/>
  <c r="L369" i="2" s="1"/>
  <c r="I369" i="2"/>
  <c r="H369" i="2"/>
  <c r="E369" i="2"/>
  <c r="D369" i="2"/>
  <c r="C369" i="2"/>
  <c r="F369" i="2" s="1"/>
  <c r="B369" i="2"/>
  <c r="A369" i="2"/>
  <c r="L368" i="2"/>
  <c r="K368" i="2"/>
  <c r="J368" i="2"/>
  <c r="I368" i="2"/>
  <c r="H368" i="2"/>
  <c r="E368" i="2"/>
  <c r="D368" i="2"/>
  <c r="C368" i="2"/>
  <c r="F368" i="2" s="1"/>
  <c r="B368" i="2"/>
  <c r="G368" i="2" s="1"/>
  <c r="M368" i="2" s="1"/>
  <c r="A368" i="2"/>
  <c r="K367" i="2"/>
  <c r="J367" i="2"/>
  <c r="I367" i="2"/>
  <c r="H367" i="2"/>
  <c r="L367" i="2" s="1"/>
  <c r="E367" i="2"/>
  <c r="F367" i="2" s="1"/>
  <c r="G367" i="2" s="1"/>
  <c r="M367" i="2" s="1"/>
  <c r="D367" i="2"/>
  <c r="C367" i="2"/>
  <c r="B367" i="2"/>
  <c r="A367" i="2"/>
  <c r="K366" i="2"/>
  <c r="J366" i="2"/>
  <c r="I366" i="2"/>
  <c r="H366" i="2"/>
  <c r="L366" i="2" s="1"/>
  <c r="E366" i="2"/>
  <c r="D366" i="2"/>
  <c r="C366" i="2"/>
  <c r="B366" i="2"/>
  <c r="A366" i="2"/>
  <c r="K365" i="2"/>
  <c r="J365" i="2"/>
  <c r="I365" i="2"/>
  <c r="H365" i="2"/>
  <c r="E365" i="2"/>
  <c r="D365" i="2"/>
  <c r="C365" i="2"/>
  <c r="F365" i="2" s="1"/>
  <c r="B365" i="2"/>
  <c r="G365" i="2" s="1"/>
  <c r="A365" i="2"/>
  <c r="K364" i="2"/>
  <c r="J364" i="2"/>
  <c r="I364" i="2"/>
  <c r="H364" i="2"/>
  <c r="F364" i="2"/>
  <c r="G364" i="2" s="1"/>
  <c r="E364" i="2"/>
  <c r="D364" i="2"/>
  <c r="C364" i="2"/>
  <c r="B364" i="2"/>
  <c r="A364" i="2"/>
  <c r="L363" i="2"/>
  <c r="K363" i="2"/>
  <c r="J363" i="2"/>
  <c r="I363" i="2"/>
  <c r="H363" i="2"/>
  <c r="E363" i="2"/>
  <c r="D363" i="2"/>
  <c r="C363" i="2"/>
  <c r="B363" i="2"/>
  <c r="A363" i="2"/>
  <c r="K362" i="2"/>
  <c r="J362" i="2"/>
  <c r="L362" i="2" s="1"/>
  <c r="I362" i="2"/>
  <c r="H362" i="2"/>
  <c r="E362" i="2"/>
  <c r="D362" i="2"/>
  <c r="F362" i="2" s="1"/>
  <c r="G362" i="2" s="1"/>
  <c r="M362" i="2" s="1"/>
  <c r="C362" i="2"/>
  <c r="B362" i="2"/>
  <c r="A362" i="2"/>
  <c r="K361" i="2"/>
  <c r="J361" i="2"/>
  <c r="I361" i="2"/>
  <c r="H361" i="2"/>
  <c r="F361" i="2"/>
  <c r="G361" i="2" s="1"/>
  <c r="E361" i="2"/>
  <c r="D361" i="2"/>
  <c r="C361" i="2"/>
  <c r="B361" i="2"/>
  <c r="A361" i="2"/>
  <c r="K360" i="2"/>
  <c r="J360" i="2"/>
  <c r="I360" i="2"/>
  <c r="L360" i="2" s="1"/>
  <c r="H360" i="2"/>
  <c r="E360" i="2"/>
  <c r="D360" i="2"/>
  <c r="C360" i="2"/>
  <c r="F360" i="2" s="1"/>
  <c r="B360" i="2"/>
  <c r="G360" i="2" s="1"/>
  <c r="A360" i="2"/>
  <c r="L359" i="2"/>
  <c r="K359" i="2"/>
  <c r="J359" i="2"/>
  <c r="I359" i="2"/>
  <c r="H359" i="2"/>
  <c r="E359" i="2"/>
  <c r="D359" i="2"/>
  <c r="C359" i="2"/>
  <c r="F359" i="2" s="1"/>
  <c r="B359" i="2"/>
  <c r="A359" i="2"/>
  <c r="K358" i="2"/>
  <c r="J358" i="2"/>
  <c r="I358" i="2"/>
  <c r="H358" i="2"/>
  <c r="L358" i="2" s="1"/>
  <c r="E358" i="2"/>
  <c r="D358" i="2"/>
  <c r="C358" i="2"/>
  <c r="B358" i="2"/>
  <c r="A358" i="2"/>
  <c r="K357" i="2"/>
  <c r="J357" i="2"/>
  <c r="I357" i="2"/>
  <c r="H357" i="2"/>
  <c r="L357" i="2" s="1"/>
  <c r="F357" i="2"/>
  <c r="G357" i="2" s="1"/>
  <c r="M357" i="2" s="1"/>
  <c r="E357" i="2"/>
  <c r="D357" i="2"/>
  <c r="C357" i="2"/>
  <c r="B357" i="2"/>
  <c r="A357" i="2"/>
  <c r="K356" i="2"/>
  <c r="J356" i="2"/>
  <c r="I356" i="2"/>
  <c r="L356" i="2" s="1"/>
  <c r="H356" i="2"/>
  <c r="E356" i="2"/>
  <c r="D356" i="2"/>
  <c r="C356" i="2"/>
  <c r="B356" i="2"/>
  <c r="A356" i="2"/>
  <c r="K355" i="2"/>
  <c r="L355" i="2" s="1"/>
  <c r="J355" i="2"/>
  <c r="I355" i="2"/>
  <c r="H355" i="2"/>
  <c r="E355" i="2"/>
  <c r="D355" i="2"/>
  <c r="C355" i="2"/>
  <c r="F355" i="2" s="1"/>
  <c r="G355" i="2" s="1"/>
  <c r="M355" i="2" s="1"/>
  <c r="B355" i="2"/>
  <c r="A355" i="2"/>
  <c r="K354" i="2"/>
  <c r="J354" i="2"/>
  <c r="I354" i="2"/>
  <c r="H354" i="2"/>
  <c r="E354" i="2"/>
  <c r="D354" i="2"/>
  <c r="F354" i="2" s="1"/>
  <c r="G354" i="2" s="1"/>
  <c r="C354" i="2"/>
  <c r="B354" i="2"/>
  <c r="A354" i="2"/>
  <c r="K353" i="2"/>
  <c r="J353" i="2"/>
  <c r="I353" i="2"/>
  <c r="H353" i="2"/>
  <c r="L353" i="2" s="1"/>
  <c r="E353" i="2"/>
  <c r="D353" i="2"/>
  <c r="C353" i="2"/>
  <c r="F353" i="2" s="1"/>
  <c r="G353" i="2" s="1"/>
  <c r="M353" i="2" s="1"/>
  <c r="B353" i="2"/>
  <c r="A353" i="2"/>
  <c r="K352" i="2"/>
  <c r="J352" i="2"/>
  <c r="L352" i="2" s="1"/>
  <c r="I352" i="2"/>
  <c r="H352" i="2"/>
  <c r="F352" i="2"/>
  <c r="G352" i="2" s="1"/>
  <c r="M352" i="2" s="1"/>
  <c r="E352" i="2"/>
  <c r="D352" i="2"/>
  <c r="C352" i="2"/>
  <c r="B352" i="2"/>
  <c r="A352" i="2"/>
  <c r="K351" i="2"/>
  <c r="J351" i="2"/>
  <c r="I351" i="2"/>
  <c r="H351" i="2"/>
  <c r="L351" i="2" s="1"/>
  <c r="E351" i="2"/>
  <c r="D351" i="2"/>
  <c r="C351" i="2"/>
  <c r="F351" i="2" s="1"/>
  <c r="G351" i="2" s="1"/>
  <c r="M351" i="2" s="1"/>
  <c r="B351" i="2"/>
  <c r="A351" i="2"/>
  <c r="K350" i="2"/>
  <c r="L350" i="2" s="1"/>
  <c r="J350" i="2"/>
  <c r="I350" i="2"/>
  <c r="H350" i="2"/>
  <c r="E350" i="2"/>
  <c r="D350" i="2"/>
  <c r="C350" i="2"/>
  <c r="F350" i="2" s="1"/>
  <c r="B350" i="2"/>
  <c r="A350" i="2"/>
  <c r="K349" i="2"/>
  <c r="J349" i="2"/>
  <c r="I349" i="2"/>
  <c r="L349" i="2" s="1"/>
  <c r="H349" i="2"/>
  <c r="E349" i="2"/>
  <c r="D349" i="2"/>
  <c r="C349" i="2"/>
  <c r="F349" i="2" s="1"/>
  <c r="B349" i="2"/>
  <c r="A349" i="2"/>
  <c r="K348" i="2"/>
  <c r="J348" i="2"/>
  <c r="I348" i="2"/>
  <c r="H348" i="2"/>
  <c r="L348" i="2" s="1"/>
  <c r="F348" i="2"/>
  <c r="G348" i="2" s="1"/>
  <c r="M348" i="2" s="1"/>
  <c r="E348" i="2"/>
  <c r="D348" i="2"/>
  <c r="C348" i="2"/>
  <c r="B348" i="2"/>
  <c r="A348" i="2"/>
  <c r="K347" i="2"/>
  <c r="J347" i="2"/>
  <c r="I347" i="2"/>
  <c r="H347" i="2"/>
  <c r="L347" i="2" s="1"/>
  <c r="E347" i="2"/>
  <c r="F347" i="2" s="1"/>
  <c r="D347" i="2"/>
  <c r="C347" i="2"/>
  <c r="B347" i="2"/>
  <c r="A347" i="2"/>
  <c r="K346" i="2"/>
  <c r="L346" i="2" s="1"/>
  <c r="J346" i="2"/>
  <c r="I346" i="2"/>
  <c r="H346" i="2"/>
  <c r="E346" i="2"/>
  <c r="D346" i="2"/>
  <c r="C346" i="2"/>
  <c r="F346" i="2" s="1"/>
  <c r="B346" i="2"/>
  <c r="G346" i="2" s="1"/>
  <c r="A346" i="2"/>
  <c r="L345" i="2"/>
  <c r="K345" i="2"/>
  <c r="J345" i="2"/>
  <c r="I345" i="2"/>
  <c r="H345" i="2"/>
  <c r="E345" i="2"/>
  <c r="D345" i="2"/>
  <c r="C345" i="2"/>
  <c r="B345" i="2"/>
  <c r="A345" i="2"/>
  <c r="K344" i="2"/>
  <c r="J344" i="2"/>
  <c r="I344" i="2"/>
  <c r="H344" i="2"/>
  <c r="F344" i="2"/>
  <c r="G344" i="2" s="1"/>
  <c r="E344" i="2"/>
  <c r="D344" i="2"/>
  <c r="C344" i="2"/>
  <c r="B344" i="2"/>
  <c r="A344" i="2"/>
  <c r="K343" i="2"/>
  <c r="J343" i="2"/>
  <c r="I343" i="2"/>
  <c r="H343" i="2"/>
  <c r="L343" i="2" s="1"/>
  <c r="G343" i="2"/>
  <c r="M343" i="2" s="1"/>
  <c r="E343" i="2"/>
  <c r="D343" i="2"/>
  <c r="C343" i="2"/>
  <c r="F343" i="2" s="1"/>
  <c r="B343" i="2"/>
  <c r="A343" i="2"/>
  <c r="K342" i="2"/>
  <c r="L342" i="2" s="1"/>
  <c r="J342" i="2"/>
  <c r="I342" i="2"/>
  <c r="H342" i="2"/>
  <c r="E342" i="2"/>
  <c r="D342" i="2"/>
  <c r="C342" i="2"/>
  <c r="F342" i="2" s="1"/>
  <c r="B342" i="2"/>
  <c r="A342" i="2"/>
  <c r="K341" i="2"/>
  <c r="J341" i="2"/>
  <c r="I341" i="2"/>
  <c r="H341" i="2"/>
  <c r="E341" i="2"/>
  <c r="D341" i="2"/>
  <c r="C341" i="2"/>
  <c r="F341" i="2" s="1"/>
  <c r="G341" i="2" s="1"/>
  <c r="B341" i="2"/>
  <c r="A341" i="2"/>
  <c r="K340" i="2"/>
  <c r="J340" i="2"/>
  <c r="I340" i="2"/>
  <c r="H340" i="2"/>
  <c r="L340" i="2" s="1"/>
  <c r="E340" i="2"/>
  <c r="D340" i="2"/>
  <c r="C340" i="2"/>
  <c r="F340" i="2" s="1"/>
  <c r="G340" i="2" s="1"/>
  <c r="M340" i="2" s="1"/>
  <c r="B340" i="2"/>
  <c r="A340" i="2"/>
  <c r="K339" i="2"/>
  <c r="J339" i="2"/>
  <c r="I339" i="2"/>
  <c r="L339" i="2" s="1"/>
  <c r="H339" i="2"/>
  <c r="E339" i="2"/>
  <c r="F339" i="2" s="1"/>
  <c r="D339" i="2"/>
  <c r="C339" i="2"/>
  <c r="B339" i="2"/>
  <c r="A339" i="2"/>
  <c r="K338" i="2"/>
  <c r="J338" i="2"/>
  <c r="I338" i="2"/>
  <c r="H338" i="2"/>
  <c r="L338" i="2" s="1"/>
  <c r="E338" i="2"/>
  <c r="D338" i="2"/>
  <c r="C338" i="2"/>
  <c r="F338" i="2" s="1"/>
  <c r="B338" i="2"/>
  <c r="G338" i="2" s="1"/>
  <c r="M338" i="2" s="1"/>
  <c r="A338" i="2"/>
  <c r="K337" i="2"/>
  <c r="J337" i="2"/>
  <c r="L337" i="2" s="1"/>
  <c r="I337" i="2"/>
  <c r="H337" i="2"/>
  <c r="E337" i="2"/>
  <c r="F337" i="2" s="1"/>
  <c r="G337" i="2" s="1"/>
  <c r="M337" i="2" s="1"/>
  <c r="D337" i="2"/>
  <c r="C337" i="2"/>
  <c r="B337" i="2"/>
  <c r="A337" i="2"/>
  <c r="K336" i="2"/>
  <c r="J336" i="2"/>
  <c r="I336" i="2"/>
  <c r="H336" i="2"/>
  <c r="L336" i="2" s="1"/>
  <c r="E336" i="2"/>
  <c r="D336" i="2"/>
  <c r="C336" i="2"/>
  <c r="B336" i="2"/>
  <c r="A336" i="2"/>
  <c r="K335" i="2"/>
  <c r="J335" i="2"/>
  <c r="I335" i="2"/>
  <c r="H335" i="2"/>
  <c r="L335" i="2" s="1"/>
  <c r="E335" i="2"/>
  <c r="D335" i="2"/>
  <c r="F335" i="2" s="1"/>
  <c r="G335" i="2" s="1"/>
  <c r="M335" i="2" s="1"/>
  <c r="C335" i="2"/>
  <c r="B335" i="2"/>
  <c r="A335" i="2"/>
  <c r="K334" i="2"/>
  <c r="J334" i="2"/>
  <c r="I334" i="2"/>
  <c r="H334" i="2"/>
  <c r="L334" i="2" s="1"/>
  <c r="E334" i="2"/>
  <c r="F334" i="2" s="1"/>
  <c r="G334" i="2" s="1"/>
  <c r="M334" i="2" s="1"/>
  <c r="D334" i="2"/>
  <c r="C334" i="2"/>
  <c r="B334" i="2"/>
  <c r="A334" i="2"/>
  <c r="K333" i="2"/>
  <c r="J333" i="2"/>
  <c r="I333" i="2"/>
  <c r="H333" i="2"/>
  <c r="E333" i="2"/>
  <c r="D333" i="2"/>
  <c r="C333" i="2"/>
  <c r="B333" i="2"/>
  <c r="A333" i="2"/>
  <c r="K332" i="2"/>
  <c r="J332" i="2"/>
  <c r="I332" i="2"/>
  <c r="H332" i="2"/>
  <c r="E332" i="2"/>
  <c r="D332" i="2"/>
  <c r="C332" i="2"/>
  <c r="F332" i="2" s="1"/>
  <c r="G332" i="2" s="1"/>
  <c r="B332" i="2"/>
  <c r="A332" i="2"/>
  <c r="K331" i="2"/>
  <c r="J331" i="2"/>
  <c r="I331" i="2"/>
  <c r="H331" i="2"/>
  <c r="L331" i="2" s="1"/>
  <c r="E331" i="2"/>
  <c r="D331" i="2"/>
  <c r="C331" i="2"/>
  <c r="F331" i="2" s="1"/>
  <c r="G331" i="2" s="1"/>
  <c r="M331" i="2" s="1"/>
  <c r="B331" i="2"/>
  <c r="A331" i="2"/>
  <c r="K330" i="2"/>
  <c r="J330" i="2"/>
  <c r="I330" i="2"/>
  <c r="H330" i="2"/>
  <c r="L330" i="2" s="1"/>
  <c r="F330" i="2"/>
  <c r="G330" i="2" s="1"/>
  <c r="M330" i="2" s="1"/>
  <c r="E330" i="2"/>
  <c r="D330" i="2"/>
  <c r="C330" i="2"/>
  <c r="B330" i="2"/>
  <c r="A330" i="2"/>
  <c r="K329" i="2"/>
  <c r="J329" i="2"/>
  <c r="I329" i="2"/>
  <c r="L329" i="2" s="1"/>
  <c r="H329" i="2"/>
  <c r="F329" i="2"/>
  <c r="E329" i="2"/>
  <c r="D329" i="2"/>
  <c r="C329" i="2"/>
  <c r="B329" i="2"/>
  <c r="G329" i="2" s="1"/>
  <c r="A329" i="2"/>
  <c r="L328" i="2"/>
  <c r="K328" i="2"/>
  <c r="J328" i="2"/>
  <c r="I328" i="2"/>
  <c r="H328" i="2"/>
  <c r="E328" i="2"/>
  <c r="D328" i="2"/>
  <c r="C328" i="2"/>
  <c r="B328" i="2"/>
  <c r="A328" i="2"/>
  <c r="K327" i="2"/>
  <c r="J327" i="2"/>
  <c r="I327" i="2"/>
  <c r="H327" i="2"/>
  <c r="L327" i="2" s="1"/>
  <c r="F327" i="2"/>
  <c r="E327" i="2"/>
  <c r="D327" i="2"/>
  <c r="C327" i="2"/>
  <c r="B327" i="2"/>
  <c r="A327" i="2"/>
  <c r="K326" i="2"/>
  <c r="J326" i="2"/>
  <c r="I326" i="2"/>
  <c r="H326" i="2"/>
  <c r="L326" i="2" s="1"/>
  <c r="E326" i="2"/>
  <c r="D326" i="2"/>
  <c r="C326" i="2"/>
  <c r="F326" i="2" s="1"/>
  <c r="B326" i="2"/>
  <c r="A326" i="2"/>
  <c r="K325" i="2"/>
  <c r="L325" i="2" s="1"/>
  <c r="J325" i="2"/>
  <c r="I325" i="2"/>
  <c r="H325" i="2"/>
  <c r="E325" i="2"/>
  <c r="D325" i="2"/>
  <c r="C325" i="2"/>
  <c r="F325" i="2" s="1"/>
  <c r="B325" i="2"/>
  <c r="A325" i="2"/>
  <c r="K324" i="2"/>
  <c r="J324" i="2"/>
  <c r="I324" i="2"/>
  <c r="H324" i="2"/>
  <c r="L324" i="2" s="1"/>
  <c r="E324" i="2"/>
  <c r="D324" i="2"/>
  <c r="C324" i="2"/>
  <c r="B324" i="2"/>
  <c r="A324" i="2"/>
  <c r="K323" i="2"/>
  <c r="J323" i="2"/>
  <c r="I323" i="2"/>
  <c r="H323" i="2"/>
  <c r="L323" i="2" s="1"/>
  <c r="E323" i="2"/>
  <c r="D323" i="2"/>
  <c r="C323" i="2"/>
  <c r="F323" i="2" s="1"/>
  <c r="G323" i="2" s="1"/>
  <c r="M323" i="2" s="1"/>
  <c r="B323" i="2"/>
  <c r="A323" i="2"/>
  <c r="K322" i="2"/>
  <c r="J322" i="2"/>
  <c r="L322" i="2" s="1"/>
  <c r="I322" i="2"/>
  <c r="H322" i="2"/>
  <c r="E322" i="2"/>
  <c r="D322" i="2"/>
  <c r="C322" i="2"/>
  <c r="F322" i="2" s="1"/>
  <c r="G322" i="2" s="1"/>
  <c r="M322" i="2" s="1"/>
  <c r="B322" i="2"/>
  <c r="A322" i="2"/>
  <c r="K321" i="2"/>
  <c r="J321" i="2"/>
  <c r="I321" i="2"/>
  <c r="H321" i="2"/>
  <c r="L321" i="2" s="1"/>
  <c r="F321" i="2"/>
  <c r="G321" i="2" s="1"/>
  <c r="M321" i="2" s="1"/>
  <c r="E321" i="2"/>
  <c r="D321" i="2"/>
  <c r="C321" i="2"/>
  <c r="B321" i="2"/>
  <c r="A321" i="2"/>
  <c r="K320" i="2"/>
  <c r="J320" i="2"/>
  <c r="I320" i="2"/>
  <c r="H320" i="2"/>
  <c r="L320" i="2" s="1"/>
  <c r="G320" i="2"/>
  <c r="M320" i="2" s="1"/>
  <c r="F320" i="2"/>
  <c r="E320" i="2"/>
  <c r="D320" i="2"/>
  <c r="C320" i="2"/>
  <c r="B320" i="2"/>
  <c r="A320" i="2"/>
  <c r="K319" i="2"/>
  <c r="J319" i="2"/>
  <c r="I319" i="2"/>
  <c r="L319" i="2" s="1"/>
  <c r="H319" i="2"/>
  <c r="F319" i="2"/>
  <c r="E319" i="2"/>
  <c r="D319" i="2"/>
  <c r="C319" i="2"/>
  <c r="B319" i="2"/>
  <c r="G319" i="2" s="1"/>
  <c r="A319" i="2"/>
  <c r="L318" i="2"/>
  <c r="M318" i="2" s="1"/>
  <c r="K318" i="2"/>
  <c r="J318" i="2"/>
  <c r="I318" i="2"/>
  <c r="H318" i="2"/>
  <c r="E318" i="2"/>
  <c r="D318" i="2"/>
  <c r="C318" i="2"/>
  <c r="F318" i="2" s="1"/>
  <c r="B318" i="2"/>
  <c r="G318" i="2" s="1"/>
  <c r="A318" i="2"/>
  <c r="K317" i="2"/>
  <c r="J317" i="2"/>
  <c r="I317" i="2"/>
  <c r="H317" i="2"/>
  <c r="L317" i="2" s="1"/>
  <c r="F317" i="2"/>
  <c r="E317" i="2"/>
  <c r="D317" i="2"/>
  <c r="C317" i="2"/>
  <c r="B317" i="2"/>
  <c r="A317" i="2"/>
  <c r="K316" i="2"/>
  <c r="J316" i="2"/>
  <c r="I316" i="2"/>
  <c r="H316" i="2"/>
  <c r="L316" i="2" s="1"/>
  <c r="E316" i="2"/>
  <c r="D316" i="2"/>
  <c r="C316" i="2"/>
  <c r="F316" i="2" s="1"/>
  <c r="B316" i="2"/>
  <c r="G316" i="2" s="1"/>
  <c r="A316" i="2"/>
  <c r="K315" i="2"/>
  <c r="L315" i="2" s="1"/>
  <c r="J315" i="2"/>
  <c r="I315" i="2"/>
  <c r="H315" i="2"/>
  <c r="E315" i="2"/>
  <c r="D315" i="2"/>
  <c r="C315" i="2"/>
  <c r="F315" i="2" s="1"/>
  <c r="B315" i="2"/>
  <c r="G315" i="2" s="1"/>
  <c r="A315" i="2"/>
  <c r="K314" i="2"/>
  <c r="J314" i="2"/>
  <c r="I314" i="2"/>
  <c r="H314" i="2"/>
  <c r="L314" i="2" s="1"/>
  <c r="E314" i="2"/>
  <c r="D314" i="2"/>
  <c r="C314" i="2"/>
  <c r="B314" i="2"/>
  <c r="A314" i="2"/>
  <c r="K313" i="2"/>
  <c r="J313" i="2"/>
  <c r="I313" i="2"/>
  <c r="H313" i="2"/>
  <c r="L313" i="2" s="1"/>
  <c r="G313" i="2"/>
  <c r="M313" i="2" s="1"/>
  <c r="E313" i="2"/>
  <c r="D313" i="2"/>
  <c r="C313" i="2"/>
  <c r="F313" i="2" s="1"/>
  <c r="B313" i="2"/>
  <c r="A313" i="2"/>
  <c r="K312" i="2"/>
  <c r="J312" i="2"/>
  <c r="L312" i="2" s="1"/>
  <c r="M312" i="2" s="1"/>
  <c r="I312" i="2"/>
  <c r="H312" i="2"/>
  <c r="E312" i="2"/>
  <c r="D312" i="2"/>
  <c r="C312" i="2"/>
  <c r="F312" i="2" s="1"/>
  <c r="G312" i="2" s="1"/>
  <c r="B312" i="2"/>
  <c r="A312" i="2"/>
  <c r="K311" i="2"/>
  <c r="J311" i="2"/>
  <c r="I311" i="2"/>
  <c r="H311" i="2"/>
  <c r="L311" i="2" s="1"/>
  <c r="F311" i="2"/>
  <c r="G311" i="2" s="1"/>
  <c r="M311" i="2" s="1"/>
  <c r="E311" i="2"/>
  <c r="D311" i="2"/>
  <c r="C311" i="2"/>
  <c r="B311" i="2"/>
  <c r="A311" i="2"/>
  <c r="K310" i="2"/>
  <c r="J310" i="2"/>
  <c r="I310" i="2"/>
  <c r="H310" i="2"/>
  <c r="L310" i="2" s="1"/>
  <c r="G310" i="2"/>
  <c r="F310" i="2"/>
  <c r="E310" i="2"/>
  <c r="D310" i="2"/>
  <c r="C310" i="2"/>
  <c r="B310" i="2"/>
  <c r="A310" i="2"/>
  <c r="L309" i="2"/>
  <c r="K309" i="2"/>
  <c r="J309" i="2"/>
  <c r="I309" i="2"/>
  <c r="H309" i="2"/>
  <c r="F309" i="2"/>
  <c r="E309" i="2"/>
  <c r="D309" i="2"/>
  <c r="C309" i="2"/>
  <c r="B309" i="2"/>
  <c r="G309" i="2" s="1"/>
  <c r="A309" i="2"/>
  <c r="L308" i="2"/>
  <c r="K308" i="2"/>
  <c r="J308" i="2"/>
  <c r="I308" i="2"/>
  <c r="H308" i="2"/>
  <c r="E308" i="2"/>
  <c r="D308" i="2"/>
  <c r="C308" i="2"/>
  <c r="F308" i="2" s="1"/>
  <c r="B308" i="2"/>
  <c r="G308" i="2" s="1"/>
  <c r="M308" i="2" s="1"/>
  <c r="A308" i="2"/>
  <c r="K307" i="2"/>
  <c r="J307" i="2"/>
  <c r="I307" i="2"/>
  <c r="H307" i="2"/>
  <c r="L307" i="2" s="1"/>
  <c r="F307" i="2"/>
  <c r="E307" i="2"/>
  <c r="D307" i="2"/>
  <c r="C307" i="2"/>
  <c r="B307" i="2"/>
  <c r="G307" i="2" s="1"/>
  <c r="M307" i="2" s="1"/>
  <c r="A307" i="2"/>
  <c r="K306" i="2"/>
  <c r="J306" i="2"/>
  <c r="I306" i="2"/>
  <c r="H306" i="2"/>
  <c r="E306" i="2"/>
  <c r="D306" i="2"/>
  <c r="C306" i="2"/>
  <c r="F306" i="2" s="1"/>
  <c r="B306" i="2"/>
  <c r="G306" i="2" s="1"/>
  <c r="A306" i="2"/>
  <c r="K305" i="2"/>
  <c r="L305" i="2" s="1"/>
  <c r="J305" i="2"/>
  <c r="I305" i="2"/>
  <c r="H305" i="2"/>
  <c r="E305" i="2"/>
  <c r="D305" i="2"/>
  <c r="C305" i="2"/>
  <c r="B305" i="2"/>
  <c r="A305" i="2"/>
  <c r="K304" i="2"/>
  <c r="J304" i="2"/>
  <c r="I304" i="2"/>
  <c r="H304" i="2"/>
  <c r="L304" i="2" s="1"/>
  <c r="E304" i="2"/>
  <c r="D304" i="2"/>
  <c r="C304" i="2"/>
  <c r="B304" i="2"/>
  <c r="A304" i="2"/>
  <c r="K303" i="2"/>
  <c r="J303" i="2"/>
  <c r="I303" i="2"/>
  <c r="H303" i="2"/>
  <c r="E303" i="2"/>
  <c r="D303" i="2"/>
  <c r="C303" i="2"/>
  <c r="F303" i="2" s="1"/>
  <c r="G303" i="2" s="1"/>
  <c r="B303" i="2"/>
  <c r="A303" i="2"/>
  <c r="K302" i="2"/>
  <c r="J302" i="2"/>
  <c r="I302" i="2"/>
  <c r="H302" i="2"/>
  <c r="E302" i="2"/>
  <c r="D302" i="2"/>
  <c r="C302" i="2"/>
  <c r="F302" i="2" s="1"/>
  <c r="G302" i="2" s="1"/>
  <c r="B302" i="2"/>
  <c r="A302" i="2"/>
  <c r="K301" i="2"/>
  <c r="J301" i="2"/>
  <c r="I301" i="2"/>
  <c r="H301" i="2"/>
  <c r="L301" i="2" s="1"/>
  <c r="E301" i="2"/>
  <c r="D301" i="2"/>
  <c r="C301" i="2"/>
  <c r="F301" i="2" s="1"/>
  <c r="G301" i="2" s="1"/>
  <c r="M301" i="2" s="1"/>
  <c r="B301" i="2"/>
  <c r="A301" i="2"/>
  <c r="K300" i="2"/>
  <c r="J300" i="2"/>
  <c r="I300" i="2"/>
  <c r="H300" i="2"/>
  <c r="L300" i="2" s="1"/>
  <c r="F300" i="2"/>
  <c r="G300" i="2" s="1"/>
  <c r="M300" i="2" s="1"/>
  <c r="E300" i="2"/>
  <c r="D300" i="2"/>
  <c r="C300" i="2"/>
  <c r="B300" i="2"/>
  <c r="A300" i="2"/>
  <c r="L299" i="2"/>
  <c r="K299" i="2"/>
  <c r="J299" i="2"/>
  <c r="I299" i="2"/>
  <c r="H299" i="2"/>
  <c r="F299" i="2"/>
  <c r="E299" i="2"/>
  <c r="D299" i="2"/>
  <c r="C299" i="2"/>
  <c r="B299" i="2"/>
  <c r="G299" i="2" s="1"/>
  <c r="M299" i="2" s="1"/>
  <c r="A299" i="2"/>
  <c r="L298" i="2"/>
  <c r="K298" i="2"/>
  <c r="J298" i="2"/>
  <c r="I298" i="2"/>
  <c r="H298" i="2"/>
  <c r="E298" i="2"/>
  <c r="D298" i="2"/>
  <c r="C298" i="2"/>
  <c r="B298" i="2"/>
  <c r="A298" i="2"/>
  <c r="K297" i="2"/>
  <c r="J297" i="2"/>
  <c r="I297" i="2"/>
  <c r="H297" i="2"/>
  <c r="L297" i="2" s="1"/>
  <c r="E297" i="2"/>
  <c r="F297" i="2" s="1"/>
  <c r="D297" i="2"/>
  <c r="C297" i="2"/>
  <c r="B297" i="2"/>
  <c r="A297" i="2"/>
  <c r="K296" i="2"/>
  <c r="J296" i="2"/>
  <c r="I296" i="2"/>
  <c r="H296" i="2"/>
  <c r="E296" i="2"/>
  <c r="D296" i="2"/>
  <c r="C296" i="2"/>
  <c r="F296" i="2" s="1"/>
  <c r="B296" i="2"/>
  <c r="G296" i="2" s="1"/>
  <c r="A296" i="2"/>
  <c r="K295" i="2"/>
  <c r="L295" i="2" s="1"/>
  <c r="J295" i="2"/>
  <c r="I295" i="2"/>
  <c r="H295" i="2"/>
  <c r="E295" i="2"/>
  <c r="D295" i="2"/>
  <c r="C295" i="2"/>
  <c r="B295" i="2"/>
  <c r="A295" i="2"/>
  <c r="K294" i="2"/>
  <c r="J294" i="2"/>
  <c r="I294" i="2"/>
  <c r="H294" i="2"/>
  <c r="L294" i="2" s="1"/>
  <c r="E294" i="2"/>
  <c r="D294" i="2"/>
  <c r="F294" i="2" s="1"/>
  <c r="G294" i="2" s="1"/>
  <c r="M294" i="2" s="1"/>
  <c r="C294" i="2"/>
  <c r="B294" i="2"/>
  <c r="A294" i="2"/>
  <c r="K293" i="2"/>
  <c r="J293" i="2"/>
  <c r="I293" i="2"/>
  <c r="H293" i="2"/>
  <c r="L293" i="2" s="1"/>
  <c r="E293" i="2"/>
  <c r="D293" i="2"/>
  <c r="C293" i="2"/>
  <c r="F293" i="2" s="1"/>
  <c r="G293" i="2" s="1"/>
  <c r="M293" i="2" s="1"/>
  <c r="B293" i="2"/>
  <c r="A293" i="2"/>
  <c r="K292" i="2"/>
  <c r="J292" i="2"/>
  <c r="L292" i="2" s="1"/>
  <c r="I292" i="2"/>
  <c r="H292" i="2"/>
  <c r="E292" i="2"/>
  <c r="D292" i="2"/>
  <c r="C292" i="2"/>
  <c r="F292" i="2" s="1"/>
  <c r="G292" i="2" s="1"/>
  <c r="M292" i="2" s="1"/>
  <c r="B292" i="2"/>
  <c r="A292" i="2"/>
  <c r="K291" i="2"/>
  <c r="J291" i="2"/>
  <c r="I291" i="2"/>
  <c r="H291" i="2"/>
  <c r="L291" i="2" s="1"/>
  <c r="E291" i="2"/>
  <c r="D291" i="2"/>
  <c r="C291" i="2"/>
  <c r="F291" i="2" s="1"/>
  <c r="G291" i="2" s="1"/>
  <c r="M291" i="2" s="1"/>
  <c r="B291" i="2"/>
  <c r="A291" i="2"/>
  <c r="K290" i="2"/>
  <c r="J290" i="2"/>
  <c r="I290" i="2"/>
  <c r="H290" i="2"/>
  <c r="F290" i="2"/>
  <c r="G290" i="2" s="1"/>
  <c r="E290" i="2"/>
  <c r="D290" i="2"/>
  <c r="C290" i="2"/>
  <c r="B290" i="2"/>
  <c r="A290" i="2"/>
  <c r="K289" i="2"/>
  <c r="J289" i="2"/>
  <c r="I289" i="2"/>
  <c r="L289" i="2" s="1"/>
  <c r="H289" i="2"/>
  <c r="F289" i="2"/>
  <c r="E289" i="2"/>
  <c r="D289" i="2"/>
  <c r="C289" i="2"/>
  <c r="B289" i="2"/>
  <c r="G289" i="2" s="1"/>
  <c r="A289" i="2"/>
  <c r="L288" i="2"/>
  <c r="K288" i="2"/>
  <c r="J288" i="2"/>
  <c r="I288" i="2"/>
  <c r="H288" i="2"/>
  <c r="E288" i="2"/>
  <c r="D288" i="2"/>
  <c r="C288" i="2"/>
  <c r="B288" i="2"/>
  <c r="A288" i="2"/>
  <c r="K287" i="2"/>
  <c r="J287" i="2"/>
  <c r="I287" i="2"/>
  <c r="H287" i="2"/>
  <c r="L287" i="2" s="1"/>
  <c r="F287" i="2"/>
  <c r="E287" i="2"/>
  <c r="D287" i="2"/>
  <c r="C287" i="2"/>
  <c r="B287" i="2"/>
  <c r="A287" i="2"/>
  <c r="K286" i="2"/>
  <c r="J286" i="2"/>
  <c r="I286" i="2"/>
  <c r="H286" i="2"/>
  <c r="E286" i="2"/>
  <c r="D286" i="2"/>
  <c r="C286" i="2"/>
  <c r="F286" i="2" s="1"/>
  <c r="B286" i="2"/>
  <c r="G286" i="2" s="1"/>
  <c r="A286" i="2"/>
  <c r="L285" i="2"/>
  <c r="K285" i="2"/>
  <c r="J285" i="2"/>
  <c r="I285" i="2"/>
  <c r="H285" i="2"/>
  <c r="E285" i="2"/>
  <c r="D285" i="2"/>
  <c r="C285" i="2"/>
  <c r="B285" i="2"/>
  <c r="A285" i="2"/>
  <c r="K284" i="2"/>
  <c r="J284" i="2"/>
  <c r="I284" i="2"/>
  <c r="H284" i="2"/>
  <c r="L284" i="2" s="1"/>
  <c r="E284" i="2"/>
  <c r="D284" i="2"/>
  <c r="C284" i="2"/>
  <c r="B284" i="2"/>
  <c r="A284" i="2"/>
  <c r="K283" i="2"/>
  <c r="J283" i="2"/>
  <c r="I283" i="2"/>
  <c r="H283" i="2"/>
  <c r="L283" i="2" s="1"/>
  <c r="G283" i="2"/>
  <c r="E283" i="2"/>
  <c r="D283" i="2"/>
  <c r="C283" i="2"/>
  <c r="F283" i="2" s="1"/>
  <c r="B283" i="2"/>
  <c r="A283" i="2"/>
  <c r="K282" i="2"/>
  <c r="J282" i="2"/>
  <c r="L282" i="2" s="1"/>
  <c r="M282" i="2" s="1"/>
  <c r="I282" i="2"/>
  <c r="H282" i="2"/>
  <c r="E282" i="2"/>
  <c r="D282" i="2"/>
  <c r="C282" i="2"/>
  <c r="F282" i="2" s="1"/>
  <c r="G282" i="2" s="1"/>
  <c r="B282" i="2"/>
  <c r="A282" i="2"/>
  <c r="K281" i="2"/>
  <c r="J281" i="2"/>
  <c r="I281" i="2"/>
  <c r="H281" i="2"/>
  <c r="L281" i="2" s="1"/>
  <c r="F281" i="2"/>
  <c r="G281" i="2" s="1"/>
  <c r="M281" i="2" s="1"/>
  <c r="E281" i="2"/>
  <c r="D281" i="2"/>
  <c r="C281" i="2"/>
  <c r="B281" i="2"/>
  <c r="A281" i="2"/>
  <c r="K280" i="2"/>
  <c r="J280" i="2"/>
  <c r="I280" i="2"/>
  <c r="H280" i="2"/>
  <c r="G280" i="2"/>
  <c r="F280" i="2"/>
  <c r="E280" i="2"/>
  <c r="D280" i="2"/>
  <c r="C280" i="2"/>
  <c r="B280" i="2"/>
  <c r="A280" i="2"/>
  <c r="K279" i="2"/>
  <c r="J279" i="2"/>
  <c r="I279" i="2"/>
  <c r="L279" i="2" s="1"/>
  <c r="H279" i="2"/>
  <c r="F279" i="2"/>
  <c r="E279" i="2"/>
  <c r="D279" i="2"/>
  <c r="C279" i="2"/>
  <c r="B279" i="2"/>
  <c r="G279" i="2" s="1"/>
  <c r="A279" i="2"/>
  <c r="L278" i="2"/>
  <c r="K278" i="2"/>
  <c r="J278" i="2"/>
  <c r="I278" i="2"/>
  <c r="H278" i="2"/>
  <c r="E278" i="2"/>
  <c r="D278" i="2"/>
  <c r="C278" i="2"/>
  <c r="B278" i="2"/>
  <c r="A278" i="2"/>
  <c r="K277" i="2"/>
  <c r="J277" i="2"/>
  <c r="I277" i="2"/>
  <c r="H277" i="2"/>
  <c r="L277" i="2" s="1"/>
  <c r="E277" i="2"/>
  <c r="F277" i="2" s="1"/>
  <c r="D277" i="2"/>
  <c r="C277" i="2"/>
  <c r="B277" i="2"/>
  <c r="A277" i="2"/>
  <c r="K276" i="2"/>
  <c r="J276" i="2"/>
  <c r="I276" i="2"/>
  <c r="H276" i="2"/>
  <c r="E276" i="2"/>
  <c r="D276" i="2"/>
  <c r="C276" i="2"/>
  <c r="F276" i="2" s="1"/>
  <c r="B276" i="2"/>
  <c r="G276" i="2" s="1"/>
  <c r="A276" i="2"/>
  <c r="L275" i="2"/>
  <c r="K275" i="2"/>
  <c r="J275" i="2"/>
  <c r="I275" i="2"/>
  <c r="H275" i="2"/>
  <c r="E275" i="2"/>
  <c r="D275" i="2"/>
  <c r="C275" i="2"/>
  <c r="B275" i="2"/>
  <c r="A275" i="2"/>
  <c r="K274" i="2"/>
  <c r="J274" i="2"/>
  <c r="I274" i="2"/>
  <c r="H274" i="2"/>
  <c r="L274" i="2" s="1"/>
  <c r="E274" i="2"/>
  <c r="D274" i="2"/>
  <c r="F274" i="2" s="1"/>
  <c r="G274" i="2" s="1"/>
  <c r="M274" i="2" s="1"/>
  <c r="C274" i="2"/>
  <c r="B274" i="2"/>
  <c r="A274" i="2"/>
  <c r="K273" i="2"/>
  <c r="J273" i="2"/>
  <c r="I273" i="2"/>
  <c r="H273" i="2"/>
  <c r="E273" i="2"/>
  <c r="D273" i="2"/>
  <c r="C273" i="2"/>
  <c r="F273" i="2" s="1"/>
  <c r="G273" i="2" s="1"/>
  <c r="B273" i="2"/>
  <c r="A273" i="2"/>
  <c r="M272" i="2"/>
  <c r="K272" i="2"/>
  <c r="J272" i="2"/>
  <c r="L272" i="2" s="1"/>
  <c r="I272" i="2"/>
  <c r="H272" i="2"/>
  <c r="E272" i="2"/>
  <c r="D272" i="2"/>
  <c r="C272" i="2"/>
  <c r="F272" i="2" s="1"/>
  <c r="G272" i="2" s="1"/>
  <c r="B272" i="2"/>
  <c r="A272" i="2"/>
  <c r="K271" i="2"/>
  <c r="J271" i="2"/>
  <c r="I271" i="2"/>
  <c r="H271" i="2"/>
  <c r="L271" i="2" s="1"/>
  <c r="E271" i="2"/>
  <c r="D271" i="2"/>
  <c r="C271" i="2"/>
  <c r="F271" i="2" s="1"/>
  <c r="G271" i="2" s="1"/>
  <c r="M271" i="2" s="1"/>
  <c r="B271" i="2"/>
  <c r="A271" i="2"/>
  <c r="K270" i="2"/>
  <c r="J270" i="2"/>
  <c r="I270" i="2"/>
  <c r="H270" i="2"/>
  <c r="F270" i="2"/>
  <c r="G270" i="2" s="1"/>
  <c r="E270" i="2"/>
  <c r="D270" i="2"/>
  <c r="C270" i="2"/>
  <c r="B270" i="2"/>
  <c r="A270" i="2"/>
  <c r="L269" i="2"/>
  <c r="K269" i="2"/>
  <c r="J269" i="2"/>
  <c r="I269" i="2"/>
  <c r="H269" i="2"/>
  <c r="F269" i="2"/>
  <c r="E269" i="2"/>
  <c r="D269" i="2"/>
  <c r="C269" i="2"/>
  <c r="B269" i="2"/>
  <c r="G269" i="2" s="1"/>
  <c r="A269" i="2"/>
  <c r="L268" i="2"/>
  <c r="K268" i="2"/>
  <c r="J268" i="2"/>
  <c r="I268" i="2"/>
  <c r="H268" i="2"/>
  <c r="E268" i="2"/>
  <c r="D268" i="2"/>
  <c r="C268" i="2"/>
  <c r="F268" i="2" s="1"/>
  <c r="B268" i="2"/>
  <c r="G268" i="2" s="1"/>
  <c r="M268" i="2" s="1"/>
  <c r="A268" i="2"/>
  <c r="K267" i="2"/>
  <c r="J267" i="2"/>
  <c r="I267" i="2"/>
  <c r="H267" i="2"/>
  <c r="L267" i="2" s="1"/>
  <c r="E267" i="2"/>
  <c r="F267" i="2" s="1"/>
  <c r="D267" i="2"/>
  <c r="C267" i="2"/>
  <c r="B267" i="2"/>
  <c r="A267" i="2"/>
  <c r="K266" i="2"/>
  <c r="J266" i="2"/>
  <c r="I266" i="2"/>
  <c r="H266" i="2"/>
  <c r="E266" i="2"/>
  <c r="D266" i="2"/>
  <c r="C266" i="2"/>
  <c r="F266" i="2" s="1"/>
  <c r="B266" i="2"/>
  <c r="A266" i="2"/>
  <c r="L265" i="2"/>
  <c r="K265" i="2"/>
  <c r="J265" i="2"/>
  <c r="I265" i="2"/>
  <c r="H265" i="2"/>
  <c r="E265" i="2"/>
  <c r="D265" i="2"/>
  <c r="C265" i="2"/>
  <c r="F265" i="2" s="1"/>
  <c r="B265" i="2"/>
  <c r="A265" i="2"/>
  <c r="K264" i="2"/>
  <c r="J264" i="2"/>
  <c r="I264" i="2"/>
  <c r="H264" i="2"/>
  <c r="L264" i="2" s="1"/>
  <c r="E264" i="2"/>
  <c r="D264" i="2"/>
  <c r="F264" i="2" s="1"/>
  <c r="G264" i="2" s="1"/>
  <c r="M264" i="2" s="1"/>
  <c r="C264" i="2"/>
  <c r="B264" i="2"/>
  <c r="A264" i="2"/>
  <c r="K263" i="2"/>
  <c r="J263" i="2"/>
  <c r="I263" i="2"/>
  <c r="H263" i="2"/>
  <c r="L263" i="2" s="1"/>
  <c r="E263" i="2"/>
  <c r="D263" i="2"/>
  <c r="C263" i="2"/>
  <c r="F263" i="2" s="1"/>
  <c r="G263" i="2" s="1"/>
  <c r="M263" i="2" s="1"/>
  <c r="B263" i="2"/>
  <c r="A263" i="2"/>
  <c r="K262" i="2"/>
  <c r="J262" i="2"/>
  <c r="L262" i="2" s="1"/>
  <c r="I262" i="2"/>
  <c r="H262" i="2"/>
  <c r="E262" i="2"/>
  <c r="D262" i="2"/>
  <c r="C262" i="2"/>
  <c r="F262" i="2" s="1"/>
  <c r="G262" i="2" s="1"/>
  <c r="M262" i="2" s="1"/>
  <c r="B262" i="2"/>
  <c r="A262" i="2"/>
  <c r="K261" i="2"/>
  <c r="J261" i="2"/>
  <c r="I261" i="2"/>
  <c r="H261" i="2"/>
  <c r="L261" i="2" s="1"/>
  <c r="E261" i="2"/>
  <c r="D261" i="2"/>
  <c r="C261" i="2"/>
  <c r="F261" i="2" s="1"/>
  <c r="G261" i="2" s="1"/>
  <c r="M261" i="2" s="1"/>
  <c r="B261" i="2"/>
  <c r="A261" i="2"/>
  <c r="K260" i="2"/>
  <c r="J260" i="2"/>
  <c r="I260" i="2"/>
  <c r="H260" i="2"/>
  <c r="F260" i="2"/>
  <c r="G260" i="2" s="1"/>
  <c r="E260" i="2"/>
  <c r="D260" i="2"/>
  <c r="C260" i="2"/>
  <c r="B260" i="2"/>
  <c r="A260" i="2"/>
  <c r="K259" i="2"/>
  <c r="J259" i="2"/>
  <c r="I259" i="2"/>
  <c r="L259" i="2" s="1"/>
  <c r="H259" i="2"/>
  <c r="F259" i="2"/>
  <c r="E259" i="2"/>
  <c r="D259" i="2"/>
  <c r="C259" i="2"/>
  <c r="B259" i="2"/>
  <c r="G259" i="2" s="1"/>
  <c r="A259" i="2"/>
  <c r="L258" i="2"/>
  <c r="K258" i="2"/>
  <c r="J258" i="2"/>
  <c r="I258" i="2"/>
  <c r="H258" i="2"/>
  <c r="E258" i="2"/>
  <c r="D258" i="2"/>
  <c r="C258" i="2"/>
  <c r="B258" i="2"/>
  <c r="A258" i="2"/>
  <c r="K257" i="2"/>
  <c r="J257" i="2"/>
  <c r="I257" i="2"/>
  <c r="H257" i="2"/>
  <c r="L257" i="2" s="1"/>
  <c r="E257" i="2"/>
  <c r="F257" i="2" s="1"/>
  <c r="D257" i="2"/>
  <c r="C257" i="2"/>
  <c r="B257" i="2"/>
  <c r="A257" i="2"/>
  <c r="K256" i="2"/>
  <c r="J256" i="2"/>
  <c r="I256" i="2"/>
  <c r="H256" i="2"/>
  <c r="L256" i="2" s="1"/>
  <c r="E256" i="2"/>
  <c r="D256" i="2"/>
  <c r="C256" i="2"/>
  <c r="F256" i="2" s="1"/>
  <c r="B256" i="2"/>
  <c r="A256" i="2"/>
  <c r="L255" i="2"/>
  <c r="K255" i="2"/>
  <c r="J255" i="2"/>
  <c r="I255" i="2"/>
  <c r="H255" i="2"/>
  <c r="E255" i="2"/>
  <c r="D255" i="2"/>
  <c r="C255" i="2"/>
  <c r="B255" i="2"/>
  <c r="A255" i="2"/>
  <c r="K254" i="2"/>
  <c r="J254" i="2"/>
  <c r="I254" i="2"/>
  <c r="H254" i="2"/>
  <c r="L254" i="2" s="1"/>
  <c r="G254" i="2"/>
  <c r="M254" i="2" s="1"/>
  <c r="E254" i="2"/>
  <c r="D254" i="2"/>
  <c r="F254" i="2" s="1"/>
  <c r="C254" i="2"/>
  <c r="B254" i="2"/>
  <c r="A254" i="2"/>
  <c r="K253" i="2"/>
  <c r="J253" i="2"/>
  <c r="I253" i="2"/>
  <c r="H253" i="2"/>
  <c r="L253" i="2" s="1"/>
  <c r="G253" i="2"/>
  <c r="M253" i="2" s="1"/>
  <c r="E253" i="2"/>
  <c r="D253" i="2"/>
  <c r="C253" i="2"/>
  <c r="F253" i="2" s="1"/>
  <c r="B253" i="2"/>
  <c r="A253" i="2"/>
  <c r="K252" i="2"/>
  <c r="J252" i="2"/>
  <c r="I252" i="2"/>
  <c r="H252" i="2"/>
  <c r="E252" i="2"/>
  <c r="D252" i="2"/>
  <c r="C252" i="2"/>
  <c r="F252" i="2" s="1"/>
  <c r="G252" i="2" s="1"/>
  <c r="B252" i="2"/>
  <c r="A252" i="2"/>
  <c r="K251" i="2"/>
  <c r="J251" i="2"/>
  <c r="I251" i="2"/>
  <c r="H251" i="2"/>
  <c r="L251" i="2" s="1"/>
  <c r="F251" i="2"/>
  <c r="G251" i="2" s="1"/>
  <c r="M251" i="2" s="1"/>
  <c r="E251" i="2"/>
  <c r="D251" i="2"/>
  <c r="C251" i="2"/>
  <c r="B251" i="2"/>
  <c r="A251" i="2"/>
  <c r="K250" i="2"/>
  <c r="J250" i="2"/>
  <c r="I250" i="2"/>
  <c r="H250" i="2"/>
  <c r="L250" i="2" s="1"/>
  <c r="F250" i="2"/>
  <c r="G250" i="2" s="1"/>
  <c r="M250" i="2" s="1"/>
  <c r="E250" i="2"/>
  <c r="D250" i="2"/>
  <c r="C250" i="2"/>
  <c r="B250" i="2"/>
  <c r="A250" i="2"/>
  <c r="K249" i="2"/>
  <c r="J249" i="2"/>
  <c r="I249" i="2"/>
  <c r="L249" i="2" s="1"/>
  <c r="H249" i="2"/>
  <c r="F249" i="2"/>
  <c r="E249" i="2"/>
  <c r="D249" i="2"/>
  <c r="C249" i="2"/>
  <c r="B249" i="2"/>
  <c r="G249" i="2" s="1"/>
  <c r="A249" i="2"/>
  <c r="L248" i="2"/>
  <c r="K248" i="2"/>
  <c r="J248" i="2"/>
  <c r="I248" i="2"/>
  <c r="H248" i="2"/>
  <c r="E248" i="2"/>
  <c r="D248" i="2"/>
  <c r="C248" i="2"/>
  <c r="F248" i="2" s="1"/>
  <c r="B248" i="2"/>
  <c r="A248" i="2"/>
  <c r="K247" i="2"/>
  <c r="J247" i="2"/>
  <c r="I247" i="2"/>
  <c r="H247" i="2"/>
  <c r="L247" i="2" s="1"/>
  <c r="E247" i="2"/>
  <c r="F247" i="2" s="1"/>
  <c r="D247" i="2"/>
  <c r="C247" i="2"/>
  <c r="B247" i="2"/>
  <c r="A247" i="2"/>
  <c r="K246" i="2"/>
  <c r="J246" i="2"/>
  <c r="I246" i="2"/>
  <c r="H246" i="2"/>
  <c r="E246" i="2"/>
  <c r="D246" i="2"/>
  <c r="C246" i="2"/>
  <c r="F246" i="2" s="1"/>
  <c r="B246" i="2"/>
  <c r="G246" i="2" s="1"/>
  <c r="A246" i="2"/>
  <c r="K245" i="2"/>
  <c r="L245" i="2" s="1"/>
  <c r="J245" i="2"/>
  <c r="I245" i="2"/>
  <c r="H245" i="2"/>
  <c r="E245" i="2"/>
  <c r="D245" i="2"/>
  <c r="C245" i="2"/>
  <c r="F245" i="2" s="1"/>
  <c r="B245" i="2"/>
  <c r="G245" i="2" s="1"/>
  <c r="A245" i="2"/>
  <c r="K244" i="2"/>
  <c r="J244" i="2"/>
  <c r="I244" i="2"/>
  <c r="H244" i="2"/>
  <c r="L244" i="2" s="1"/>
  <c r="G244" i="2"/>
  <c r="E244" i="2"/>
  <c r="D244" i="2"/>
  <c r="F244" i="2" s="1"/>
  <c r="C244" i="2"/>
  <c r="B244" i="2"/>
  <c r="A244" i="2"/>
  <c r="K243" i="2"/>
  <c r="J243" i="2"/>
  <c r="I243" i="2"/>
  <c r="H243" i="2"/>
  <c r="G243" i="2"/>
  <c r="E243" i="2"/>
  <c r="D243" i="2"/>
  <c r="C243" i="2"/>
  <c r="F243" i="2" s="1"/>
  <c r="B243" i="2"/>
  <c r="A243" i="2"/>
  <c r="K242" i="2"/>
  <c r="J242" i="2"/>
  <c r="I242" i="2"/>
  <c r="H242" i="2"/>
  <c r="E242" i="2"/>
  <c r="D242" i="2"/>
  <c r="C242" i="2"/>
  <c r="F242" i="2" s="1"/>
  <c r="G242" i="2" s="1"/>
  <c r="B242" i="2"/>
  <c r="A242" i="2"/>
  <c r="K241" i="2"/>
  <c r="J241" i="2"/>
  <c r="I241" i="2"/>
  <c r="H241" i="2"/>
  <c r="L241" i="2" s="1"/>
  <c r="E241" i="2"/>
  <c r="D241" i="2"/>
  <c r="C241" i="2"/>
  <c r="F241" i="2" s="1"/>
  <c r="G241" i="2" s="1"/>
  <c r="M241" i="2" s="1"/>
  <c r="B241" i="2"/>
  <c r="A241" i="2"/>
  <c r="K240" i="2"/>
  <c r="J240" i="2"/>
  <c r="I240" i="2"/>
  <c r="H240" i="2"/>
  <c r="F240" i="2"/>
  <c r="G240" i="2" s="1"/>
  <c r="E240" i="2"/>
  <c r="D240" i="2"/>
  <c r="C240" i="2"/>
  <c r="B240" i="2"/>
  <c r="A240" i="2"/>
  <c r="L239" i="2"/>
  <c r="K239" i="2"/>
  <c r="J239" i="2"/>
  <c r="I239" i="2"/>
  <c r="H239" i="2"/>
  <c r="F239" i="2"/>
  <c r="E239" i="2"/>
  <c r="D239" i="2"/>
  <c r="C239" i="2"/>
  <c r="B239" i="2"/>
  <c r="G239" i="2" s="1"/>
  <c r="M239" i="2" s="1"/>
  <c r="A239" i="2"/>
  <c r="L238" i="2"/>
  <c r="K238" i="2"/>
  <c r="J238" i="2"/>
  <c r="I238" i="2"/>
  <c r="H238" i="2"/>
  <c r="E238" i="2"/>
  <c r="D238" i="2"/>
  <c r="C238" i="2"/>
  <c r="F238" i="2" s="1"/>
  <c r="B238" i="2"/>
  <c r="A238" i="2"/>
  <c r="K237" i="2"/>
  <c r="J237" i="2"/>
  <c r="I237" i="2"/>
  <c r="H237" i="2"/>
  <c r="L237" i="2" s="1"/>
  <c r="F237" i="2"/>
  <c r="E237" i="2"/>
  <c r="D237" i="2"/>
  <c r="C237" i="2"/>
  <c r="B237" i="2"/>
  <c r="G237" i="2" s="1"/>
  <c r="M237" i="2" s="1"/>
  <c r="A237" i="2"/>
  <c r="K236" i="2"/>
  <c r="J236" i="2"/>
  <c r="I236" i="2"/>
  <c r="H236" i="2"/>
  <c r="E236" i="2"/>
  <c r="D236" i="2"/>
  <c r="C236" i="2"/>
  <c r="F236" i="2" s="1"/>
  <c r="B236" i="2"/>
  <c r="G236" i="2" s="1"/>
  <c r="A236" i="2"/>
  <c r="L235" i="2"/>
  <c r="K235" i="2"/>
  <c r="J235" i="2"/>
  <c r="I235" i="2"/>
  <c r="H235" i="2"/>
  <c r="E235" i="2"/>
  <c r="D235" i="2"/>
  <c r="C235" i="2"/>
  <c r="F235" i="2" s="1"/>
  <c r="B235" i="2"/>
  <c r="G235" i="2" s="1"/>
  <c r="M235" i="2" s="1"/>
  <c r="A235" i="2"/>
  <c r="K234" i="2"/>
  <c r="J234" i="2"/>
  <c r="I234" i="2"/>
  <c r="H234" i="2"/>
  <c r="L234" i="2" s="1"/>
  <c r="E234" i="2"/>
  <c r="D234" i="2"/>
  <c r="C234" i="2"/>
  <c r="B234" i="2"/>
  <c r="A234" i="2"/>
  <c r="K233" i="2"/>
  <c r="J233" i="2"/>
  <c r="I233" i="2"/>
  <c r="H233" i="2"/>
  <c r="E233" i="2"/>
  <c r="D233" i="2"/>
  <c r="C233" i="2"/>
  <c r="F233" i="2" s="1"/>
  <c r="G233" i="2" s="1"/>
  <c r="B233" i="2"/>
  <c r="A233" i="2"/>
  <c r="K232" i="2"/>
  <c r="J232" i="2"/>
  <c r="I232" i="2"/>
  <c r="H232" i="2"/>
  <c r="E232" i="2"/>
  <c r="D232" i="2"/>
  <c r="C232" i="2"/>
  <c r="F232" i="2" s="1"/>
  <c r="G232" i="2" s="1"/>
  <c r="B232" i="2"/>
  <c r="A232" i="2"/>
  <c r="K231" i="2"/>
  <c r="J231" i="2"/>
  <c r="I231" i="2"/>
  <c r="H231" i="2"/>
  <c r="L231" i="2" s="1"/>
  <c r="E231" i="2"/>
  <c r="D231" i="2"/>
  <c r="C231" i="2"/>
  <c r="F231" i="2" s="1"/>
  <c r="G231" i="2" s="1"/>
  <c r="M231" i="2" s="1"/>
  <c r="B231" i="2"/>
  <c r="A231" i="2"/>
  <c r="K230" i="2"/>
  <c r="J230" i="2"/>
  <c r="I230" i="2"/>
  <c r="H230" i="2"/>
  <c r="L230" i="2" s="1"/>
  <c r="G230" i="2"/>
  <c r="M230" i="2" s="1"/>
  <c r="F230" i="2"/>
  <c r="E230" i="2"/>
  <c r="D230" i="2"/>
  <c r="C230" i="2"/>
  <c r="B230" i="2"/>
  <c r="A230" i="2"/>
  <c r="K229" i="2"/>
  <c r="J229" i="2"/>
  <c r="I229" i="2"/>
  <c r="L229" i="2" s="1"/>
  <c r="H229" i="2"/>
  <c r="F229" i="2"/>
  <c r="E229" i="2"/>
  <c r="D229" i="2"/>
  <c r="C229" i="2"/>
  <c r="B229" i="2"/>
  <c r="G229" i="2" s="1"/>
  <c r="A229" i="2"/>
  <c r="L228" i="2"/>
  <c r="K228" i="2"/>
  <c r="J228" i="2"/>
  <c r="I228" i="2"/>
  <c r="H228" i="2"/>
  <c r="E228" i="2"/>
  <c r="D228" i="2"/>
  <c r="C228" i="2"/>
  <c r="B228" i="2"/>
  <c r="A228" i="2"/>
  <c r="K227" i="2"/>
  <c r="J227" i="2"/>
  <c r="I227" i="2"/>
  <c r="H227" i="2"/>
  <c r="L227" i="2" s="1"/>
  <c r="F227" i="2"/>
  <c r="E227" i="2"/>
  <c r="D227" i="2"/>
  <c r="C227" i="2"/>
  <c r="B227" i="2"/>
  <c r="A227" i="2"/>
  <c r="K226" i="2"/>
  <c r="J226" i="2"/>
  <c r="I226" i="2"/>
  <c r="H226" i="2"/>
  <c r="L226" i="2" s="1"/>
  <c r="E226" i="2"/>
  <c r="D226" i="2"/>
  <c r="C226" i="2"/>
  <c r="F226" i="2" s="1"/>
  <c r="B226" i="2"/>
  <c r="A226" i="2"/>
  <c r="K225" i="2"/>
  <c r="L225" i="2" s="1"/>
  <c r="J225" i="2"/>
  <c r="I225" i="2"/>
  <c r="H225" i="2"/>
  <c r="E225" i="2"/>
  <c r="D225" i="2"/>
  <c r="C225" i="2"/>
  <c r="F225" i="2" s="1"/>
  <c r="B225" i="2"/>
  <c r="A225" i="2"/>
  <c r="K224" i="2"/>
  <c r="J224" i="2"/>
  <c r="I224" i="2"/>
  <c r="H224" i="2"/>
  <c r="L224" i="2" s="1"/>
  <c r="E224" i="2"/>
  <c r="D224" i="2"/>
  <c r="C224" i="2"/>
  <c r="B224" i="2"/>
  <c r="A224" i="2"/>
  <c r="K223" i="2"/>
  <c r="J223" i="2"/>
  <c r="I223" i="2"/>
  <c r="H223" i="2"/>
  <c r="E223" i="2"/>
  <c r="D223" i="2"/>
  <c r="C223" i="2"/>
  <c r="F223" i="2" s="1"/>
  <c r="G223" i="2" s="1"/>
  <c r="B223" i="2"/>
  <c r="A223" i="2"/>
  <c r="K222" i="2"/>
  <c r="J222" i="2"/>
  <c r="L222" i="2" s="1"/>
  <c r="I222" i="2"/>
  <c r="H222" i="2"/>
  <c r="E222" i="2"/>
  <c r="D222" i="2"/>
  <c r="C222" i="2"/>
  <c r="F222" i="2" s="1"/>
  <c r="G222" i="2" s="1"/>
  <c r="M222" i="2" s="1"/>
  <c r="B222" i="2"/>
  <c r="A222" i="2"/>
  <c r="K221" i="2"/>
  <c r="J221" i="2"/>
  <c r="I221" i="2"/>
  <c r="H221" i="2"/>
  <c r="L221" i="2" s="1"/>
  <c r="F221" i="2"/>
  <c r="G221" i="2" s="1"/>
  <c r="M221" i="2" s="1"/>
  <c r="E221" i="2"/>
  <c r="D221" i="2"/>
  <c r="C221" i="2"/>
  <c r="B221" i="2"/>
  <c r="A221" i="2"/>
  <c r="K220" i="2"/>
  <c r="J220" i="2"/>
  <c r="I220" i="2"/>
  <c r="H220" i="2"/>
  <c r="L220" i="2" s="1"/>
  <c r="G220" i="2"/>
  <c r="M220" i="2" s="1"/>
  <c r="F220" i="2"/>
  <c r="E220" i="2"/>
  <c r="D220" i="2"/>
  <c r="C220" i="2"/>
  <c r="B220" i="2"/>
  <c r="A220" i="2"/>
  <c r="K219" i="2"/>
  <c r="J219" i="2"/>
  <c r="I219" i="2"/>
  <c r="L219" i="2" s="1"/>
  <c r="H219" i="2"/>
  <c r="F219" i="2"/>
  <c r="E219" i="2"/>
  <c r="D219" i="2"/>
  <c r="C219" i="2"/>
  <c r="B219" i="2"/>
  <c r="G219" i="2" s="1"/>
  <c r="A219" i="2"/>
  <c r="L218" i="2"/>
  <c r="K218" i="2"/>
  <c r="J218" i="2"/>
  <c r="I218" i="2"/>
  <c r="H218" i="2"/>
  <c r="E218" i="2"/>
  <c r="D218" i="2"/>
  <c r="C218" i="2"/>
  <c r="F218" i="2" s="1"/>
  <c r="B218" i="2"/>
  <c r="A218" i="2"/>
  <c r="K217" i="2"/>
  <c r="J217" i="2"/>
  <c r="I217" i="2"/>
  <c r="H217" i="2"/>
  <c r="L217" i="2" s="1"/>
  <c r="E217" i="2"/>
  <c r="F217" i="2" s="1"/>
  <c r="D217" i="2"/>
  <c r="C217" i="2"/>
  <c r="B217" i="2"/>
  <c r="A217" i="2"/>
  <c r="K216" i="2"/>
  <c r="J216" i="2"/>
  <c r="I216" i="2"/>
  <c r="H216" i="2"/>
  <c r="E216" i="2"/>
  <c r="D216" i="2"/>
  <c r="C216" i="2"/>
  <c r="F216" i="2" s="1"/>
  <c r="B216" i="2"/>
  <c r="A216" i="2"/>
  <c r="K215" i="2"/>
  <c r="L215" i="2" s="1"/>
  <c r="J215" i="2"/>
  <c r="I215" i="2"/>
  <c r="H215" i="2"/>
  <c r="E215" i="2"/>
  <c r="D215" i="2"/>
  <c r="C215" i="2"/>
  <c r="F215" i="2" s="1"/>
  <c r="B215" i="2"/>
  <c r="A215" i="2"/>
  <c r="K214" i="2"/>
  <c r="J214" i="2"/>
  <c r="I214" i="2"/>
  <c r="H214" i="2"/>
  <c r="L214" i="2" s="1"/>
  <c r="G214" i="2"/>
  <c r="E214" i="2"/>
  <c r="D214" i="2"/>
  <c r="F214" i="2" s="1"/>
  <c r="C214" i="2"/>
  <c r="B214" i="2"/>
  <c r="A214" i="2"/>
  <c r="K213" i="2"/>
  <c r="J213" i="2"/>
  <c r="I213" i="2"/>
  <c r="H213" i="2"/>
  <c r="G213" i="2"/>
  <c r="E213" i="2"/>
  <c r="D213" i="2"/>
  <c r="C213" i="2"/>
  <c r="F213" i="2" s="1"/>
  <c r="B213" i="2"/>
  <c r="A213" i="2"/>
  <c r="K212" i="2"/>
  <c r="J212" i="2"/>
  <c r="I212" i="2"/>
  <c r="H212" i="2"/>
  <c r="E212" i="2"/>
  <c r="D212" i="2"/>
  <c r="C212" i="2"/>
  <c r="F212" i="2" s="1"/>
  <c r="G212" i="2" s="1"/>
  <c r="B212" i="2"/>
  <c r="A212" i="2"/>
  <c r="K211" i="2"/>
  <c r="J211" i="2"/>
  <c r="I211" i="2"/>
  <c r="H211" i="2"/>
  <c r="L211" i="2" s="1"/>
  <c r="E211" i="2"/>
  <c r="D211" i="2"/>
  <c r="C211" i="2"/>
  <c r="F211" i="2" s="1"/>
  <c r="G211" i="2" s="1"/>
  <c r="M211" i="2" s="1"/>
  <c r="B211" i="2"/>
  <c r="A211" i="2"/>
  <c r="K210" i="2"/>
  <c r="J210" i="2"/>
  <c r="I210" i="2"/>
  <c r="H210" i="2"/>
  <c r="E210" i="2"/>
  <c r="D210" i="2"/>
  <c r="C210" i="2"/>
  <c r="F210" i="2" s="1"/>
  <c r="G210" i="2" s="1"/>
  <c r="B210" i="2"/>
  <c r="A210" i="2"/>
  <c r="L209" i="2"/>
  <c r="K209" i="2"/>
  <c r="J209" i="2"/>
  <c r="I209" i="2"/>
  <c r="H209" i="2"/>
  <c r="F209" i="2"/>
  <c r="E209" i="2"/>
  <c r="D209" i="2"/>
  <c r="C209" i="2"/>
  <c r="B209" i="2"/>
  <c r="G209" i="2" s="1"/>
  <c r="A209" i="2"/>
  <c r="K208" i="2"/>
  <c r="J208" i="2"/>
  <c r="I208" i="2"/>
  <c r="L208" i="2" s="1"/>
  <c r="H208" i="2"/>
  <c r="E208" i="2"/>
  <c r="D208" i="2"/>
  <c r="C208" i="2"/>
  <c r="F208" i="2" s="1"/>
  <c r="B208" i="2"/>
  <c r="G208" i="2" s="1"/>
  <c r="A208" i="2"/>
  <c r="K207" i="2"/>
  <c r="J207" i="2"/>
  <c r="I207" i="2"/>
  <c r="H207" i="2"/>
  <c r="L207" i="2" s="1"/>
  <c r="E207" i="2"/>
  <c r="F207" i="2" s="1"/>
  <c r="D207" i="2"/>
  <c r="C207" i="2"/>
  <c r="B207" i="2"/>
  <c r="A207" i="2"/>
  <c r="K206" i="2"/>
  <c r="J206" i="2"/>
  <c r="I206" i="2"/>
  <c r="H206" i="2"/>
  <c r="E206" i="2"/>
  <c r="D206" i="2"/>
  <c r="C206" i="2"/>
  <c r="F206" i="2" s="1"/>
  <c r="B206" i="2"/>
  <c r="G206" i="2" s="1"/>
  <c r="A206" i="2"/>
  <c r="K205" i="2"/>
  <c r="J205" i="2"/>
  <c r="I205" i="2"/>
  <c r="H205" i="2"/>
  <c r="L205" i="2" s="1"/>
  <c r="E205" i="2"/>
  <c r="D205" i="2"/>
  <c r="C205" i="2"/>
  <c r="B205" i="2"/>
  <c r="A205" i="2"/>
  <c r="K204" i="2"/>
  <c r="J204" i="2"/>
  <c r="I204" i="2"/>
  <c r="H204" i="2"/>
  <c r="L204" i="2" s="1"/>
  <c r="E204" i="2"/>
  <c r="D204" i="2"/>
  <c r="F204" i="2" s="1"/>
  <c r="G204" i="2" s="1"/>
  <c r="M204" i="2" s="1"/>
  <c r="C204" i="2"/>
  <c r="B204" i="2"/>
  <c r="A204" i="2"/>
  <c r="K203" i="2"/>
  <c r="J203" i="2"/>
  <c r="I203" i="2"/>
  <c r="H203" i="2"/>
  <c r="L203" i="2" s="1"/>
  <c r="E203" i="2"/>
  <c r="D203" i="2"/>
  <c r="C203" i="2"/>
  <c r="B203" i="2"/>
  <c r="A203" i="2"/>
  <c r="K202" i="2"/>
  <c r="J202" i="2"/>
  <c r="L202" i="2" s="1"/>
  <c r="I202" i="2"/>
  <c r="H202" i="2"/>
  <c r="E202" i="2"/>
  <c r="D202" i="2"/>
  <c r="C202" i="2"/>
  <c r="F202" i="2" s="1"/>
  <c r="G202" i="2" s="1"/>
  <c r="M202" i="2" s="1"/>
  <c r="B202" i="2"/>
  <c r="A202" i="2"/>
  <c r="K201" i="2"/>
  <c r="J201" i="2"/>
  <c r="I201" i="2"/>
  <c r="H201" i="2"/>
  <c r="L201" i="2" s="1"/>
  <c r="F201" i="2"/>
  <c r="G201" i="2" s="1"/>
  <c r="M201" i="2" s="1"/>
  <c r="E201" i="2"/>
  <c r="D201" i="2"/>
  <c r="C201" i="2"/>
  <c r="B201" i="2"/>
  <c r="A201" i="2"/>
  <c r="K200" i="2"/>
  <c r="J200" i="2"/>
  <c r="I200" i="2"/>
  <c r="H200" i="2"/>
  <c r="L200" i="2" s="1"/>
  <c r="F200" i="2"/>
  <c r="G200" i="2" s="1"/>
  <c r="M200" i="2" s="1"/>
  <c r="E200" i="2"/>
  <c r="D200" i="2"/>
  <c r="C200" i="2"/>
  <c r="B200" i="2"/>
  <c r="A200" i="2"/>
  <c r="K199" i="2"/>
  <c r="J199" i="2"/>
  <c r="I199" i="2"/>
  <c r="L199" i="2" s="1"/>
  <c r="H199" i="2"/>
  <c r="F199" i="2"/>
  <c r="E199" i="2"/>
  <c r="D199" i="2"/>
  <c r="C199" i="2"/>
  <c r="B199" i="2"/>
  <c r="A199" i="2"/>
  <c r="L198" i="2"/>
  <c r="K198" i="2"/>
  <c r="J198" i="2"/>
  <c r="I198" i="2"/>
  <c r="H198" i="2"/>
  <c r="E198" i="2"/>
  <c r="D198" i="2"/>
  <c r="C198" i="2"/>
  <c r="F198" i="2" s="1"/>
  <c r="B198" i="2"/>
  <c r="A198" i="2"/>
  <c r="L197" i="2"/>
  <c r="K197" i="2"/>
  <c r="J197" i="2"/>
  <c r="I197" i="2"/>
  <c r="H197" i="2"/>
  <c r="E197" i="2"/>
  <c r="F197" i="2" s="1"/>
  <c r="D197" i="2"/>
  <c r="C197" i="2"/>
  <c r="B197" i="2"/>
  <c r="A197" i="2"/>
  <c r="K196" i="2"/>
  <c r="J196" i="2"/>
  <c r="I196" i="2"/>
  <c r="H196" i="2"/>
  <c r="E196" i="2"/>
  <c r="D196" i="2"/>
  <c r="C196" i="2"/>
  <c r="F196" i="2" s="1"/>
  <c r="B196" i="2"/>
  <c r="A196" i="2"/>
  <c r="L195" i="2"/>
  <c r="K195" i="2"/>
  <c r="J195" i="2"/>
  <c r="I195" i="2"/>
  <c r="H195" i="2"/>
  <c r="E195" i="2"/>
  <c r="D195" i="2"/>
  <c r="C195" i="2"/>
  <c r="F195" i="2" s="1"/>
  <c r="B195" i="2"/>
  <c r="A195" i="2"/>
  <c r="K194" i="2"/>
  <c r="J194" i="2"/>
  <c r="I194" i="2"/>
  <c r="H194" i="2"/>
  <c r="E194" i="2"/>
  <c r="D194" i="2"/>
  <c r="F194" i="2" s="1"/>
  <c r="G194" i="2" s="1"/>
  <c r="C194" i="2"/>
  <c r="B194" i="2"/>
  <c r="A194" i="2"/>
  <c r="K193" i="2"/>
  <c r="J193" i="2"/>
  <c r="I193" i="2"/>
  <c r="H193" i="2"/>
  <c r="E193" i="2"/>
  <c r="D193" i="2"/>
  <c r="C193" i="2"/>
  <c r="F193" i="2" s="1"/>
  <c r="G193" i="2" s="1"/>
  <c r="B193" i="2"/>
  <c r="A193" i="2"/>
  <c r="K192" i="2"/>
  <c r="J192" i="2"/>
  <c r="L192" i="2" s="1"/>
  <c r="I192" i="2"/>
  <c r="H192" i="2"/>
  <c r="E192" i="2"/>
  <c r="D192" i="2"/>
  <c r="C192" i="2"/>
  <c r="B192" i="2"/>
  <c r="A192" i="2"/>
  <c r="K191" i="2"/>
  <c r="J191" i="2"/>
  <c r="I191" i="2"/>
  <c r="H191" i="2"/>
  <c r="E191" i="2"/>
  <c r="D191" i="2"/>
  <c r="C191" i="2"/>
  <c r="F191" i="2" s="1"/>
  <c r="G191" i="2" s="1"/>
  <c r="B191" i="2"/>
  <c r="A191" i="2"/>
  <c r="K190" i="2"/>
  <c r="J190" i="2"/>
  <c r="I190" i="2"/>
  <c r="H190" i="2"/>
  <c r="L190" i="2" s="1"/>
  <c r="E190" i="2"/>
  <c r="D190" i="2"/>
  <c r="C190" i="2"/>
  <c r="F190" i="2" s="1"/>
  <c r="G190" i="2" s="1"/>
  <c r="M190" i="2" s="1"/>
  <c r="B190" i="2"/>
  <c r="A190" i="2"/>
  <c r="K189" i="2"/>
  <c r="J189" i="2"/>
  <c r="I189" i="2"/>
  <c r="L189" i="2" s="1"/>
  <c r="H189" i="2"/>
  <c r="F189" i="2"/>
  <c r="E189" i="2"/>
  <c r="D189" i="2"/>
  <c r="C189" i="2"/>
  <c r="B189" i="2"/>
  <c r="A189" i="2"/>
  <c r="K188" i="2"/>
  <c r="J188" i="2"/>
  <c r="I188" i="2"/>
  <c r="L188" i="2" s="1"/>
  <c r="H188" i="2"/>
  <c r="F188" i="2"/>
  <c r="E188" i="2"/>
  <c r="D188" i="2"/>
  <c r="C188" i="2"/>
  <c r="B188" i="2"/>
  <c r="A188" i="2"/>
  <c r="K187" i="2"/>
  <c r="J187" i="2"/>
  <c r="I187" i="2"/>
  <c r="H187" i="2"/>
  <c r="L187" i="2" s="1"/>
  <c r="E187" i="2"/>
  <c r="F187" i="2" s="1"/>
  <c r="D187" i="2"/>
  <c r="C187" i="2"/>
  <c r="B187" i="2"/>
  <c r="A187" i="2"/>
  <c r="L186" i="2"/>
  <c r="K186" i="2"/>
  <c r="J186" i="2"/>
  <c r="I186" i="2"/>
  <c r="H186" i="2"/>
  <c r="E186" i="2"/>
  <c r="D186" i="2"/>
  <c r="C186" i="2"/>
  <c r="F186" i="2" s="1"/>
  <c r="B186" i="2"/>
  <c r="A186" i="2"/>
  <c r="L185" i="2"/>
  <c r="K185" i="2"/>
  <c r="J185" i="2"/>
  <c r="I185" i="2"/>
  <c r="H185" i="2"/>
  <c r="E185" i="2"/>
  <c r="D185" i="2"/>
  <c r="C185" i="2"/>
  <c r="F185" i="2" s="1"/>
  <c r="B185" i="2"/>
  <c r="A185" i="2"/>
  <c r="K184" i="2"/>
  <c r="J184" i="2"/>
  <c r="I184" i="2"/>
  <c r="H184" i="2"/>
  <c r="E184" i="2"/>
  <c r="D184" i="2"/>
  <c r="F184" i="2" s="1"/>
  <c r="G184" i="2" s="1"/>
  <c r="C184" i="2"/>
  <c r="B184" i="2"/>
  <c r="A184" i="2"/>
  <c r="K183" i="2"/>
  <c r="J183" i="2"/>
  <c r="I183" i="2"/>
  <c r="H183" i="2"/>
  <c r="E183" i="2"/>
  <c r="D183" i="2"/>
  <c r="C183" i="2"/>
  <c r="F183" i="2" s="1"/>
  <c r="G183" i="2" s="1"/>
  <c r="B183" i="2"/>
  <c r="A183" i="2"/>
  <c r="K182" i="2"/>
  <c r="J182" i="2"/>
  <c r="L182" i="2" s="1"/>
  <c r="I182" i="2"/>
  <c r="H182" i="2"/>
  <c r="E182" i="2"/>
  <c r="D182" i="2"/>
  <c r="C182" i="2"/>
  <c r="B182" i="2"/>
  <c r="A182" i="2"/>
  <c r="K181" i="2"/>
  <c r="J181" i="2"/>
  <c r="I181" i="2"/>
  <c r="H181" i="2"/>
  <c r="E181" i="2"/>
  <c r="D181" i="2"/>
  <c r="C181" i="2"/>
  <c r="F181" i="2" s="1"/>
  <c r="G181" i="2" s="1"/>
  <c r="B181" i="2"/>
  <c r="A181" i="2"/>
  <c r="K180" i="2"/>
  <c r="J180" i="2"/>
  <c r="I180" i="2"/>
  <c r="H180" i="2"/>
  <c r="L180" i="2" s="1"/>
  <c r="E180" i="2"/>
  <c r="D180" i="2"/>
  <c r="C180" i="2"/>
  <c r="F180" i="2" s="1"/>
  <c r="G180" i="2" s="1"/>
  <c r="M180" i="2" s="1"/>
  <c r="B180" i="2"/>
  <c r="A180" i="2"/>
  <c r="K179" i="2"/>
  <c r="J179" i="2"/>
  <c r="I179" i="2"/>
  <c r="L179" i="2" s="1"/>
  <c r="H179" i="2"/>
  <c r="F179" i="2"/>
  <c r="E179" i="2"/>
  <c r="D179" i="2"/>
  <c r="C179" i="2"/>
  <c r="B179" i="2"/>
  <c r="A179" i="2"/>
  <c r="K178" i="2"/>
  <c r="J178" i="2"/>
  <c r="I178" i="2"/>
  <c r="L178" i="2" s="1"/>
  <c r="H178" i="2"/>
  <c r="F178" i="2"/>
  <c r="E178" i="2"/>
  <c r="D178" i="2"/>
  <c r="C178" i="2"/>
  <c r="B178" i="2"/>
  <c r="A178" i="2"/>
  <c r="K177" i="2"/>
  <c r="J177" i="2"/>
  <c r="I177" i="2"/>
  <c r="H177" i="2"/>
  <c r="L177" i="2" s="1"/>
  <c r="E177" i="2"/>
  <c r="F177" i="2" s="1"/>
  <c r="D177" i="2"/>
  <c r="C177" i="2"/>
  <c r="B177" i="2"/>
  <c r="A177" i="2"/>
  <c r="L176" i="2"/>
  <c r="K176" i="2"/>
  <c r="J176" i="2"/>
  <c r="I176" i="2"/>
  <c r="H176" i="2"/>
  <c r="E176" i="2"/>
  <c r="D176" i="2"/>
  <c r="C176" i="2"/>
  <c r="F176" i="2" s="1"/>
  <c r="B176" i="2"/>
  <c r="A176" i="2"/>
  <c r="L175" i="2"/>
  <c r="K175" i="2"/>
  <c r="J175" i="2"/>
  <c r="I175" i="2"/>
  <c r="H175" i="2"/>
  <c r="E175" i="2"/>
  <c r="D175" i="2"/>
  <c r="C175" i="2"/>
  <c r="F175" i="2" s="1"/>
  <c r="B175" i="2"/>
  <c r="A175" i="2"/>
  <c r="K174" i="2"/>
  <c r="J174" i="2"/>
  <c r="I174" i="2"/>
  <c r="H174" i="2"/>
  <c r="E174" i="2"/>
  <c r="D174" i="2"/>
  <c r="F174" i="2" s="1"/>
  <c r="G174" i="2" s="1"/>
  <c r="C174" i="2"/>
  <c r="B174" i="2"/>
  <c r="A174" i="2"/>
  <c r="K173" i="2"/>
  <c r="J173" i="2"/>
  <c r="I173" i="2"/>
  <c r="H173" i="2"/>
  <c r="E173" i="2"/>
  <c r="D173" i="2"/>
  <c r="C173" i="2"/>
  <c r="F173" i="2" s="1"/>
  <c r="G173" i="2" s="1"/>
  <c r="B173" i="2"/>
  <c r="A173" i="2"/>
  <c r="K172" i="2"/>
  <c r="J172" i="2"/>
  <c r="L172" i="2" s="1"/>
  <c r="I172" i="2"/>
  <c r="H172" i="2"/>
  <c r="E172" i="2"/>
  <c r="D172" i="2"/>
  <c r="C172" i="2"/>
  <c r="B172" i="2"/>
  <c r="A172" i="2"/>
  <c r="K171" i="2"/>
  <c r="J171" i="2"/>
  <c r="I171" i="2"/>
  <c r="H171" i="2"/>
  <c r="E171" i="2"/>
  <c r="D171" i="2"/>
  <c r="C171" i="2"/>
  <c r="F171" i="2" s="1"/>
  <c r="G171" i="2" s="1"/>
  <c r="B171" i="2"/>
  <c r="A171" i="2"/>
  <c r="K170" i="2"/>
  <c r="J170" i="2"/>
  <c r="I170" i="2"/>
  <c r="H170" i="2"/>
  <c r="L170" i="2" s="1"/>
  <c r="E170" i="2"/>
  <c r="D170" i="2"/>
  <c r="C170" i="2"/>
  <c r="F170" i="2" s="1"/>
  <c r="G170" i="2" s="1"/>
  <c r="M170" i="2" s="1"/>
  <c r="B170" i="2"/>
  <c r="A170" i="2"/>
  <c r="K169" i="2"/>
  <c r="J169" i="2"/>
  <c r="I169" i="2"/>
  <c r="L169" i="2" s="1"/>
  <c r="H169" i="2"/>
  <c r="F169" i="2"/>
  <c r="E169" i="2"/>
  <c r="D169" i="2"/>
  <c r="C169" i="2"/>
  <c r="B169" i="2"/>
  <c r="A169" i="2"/>
  <c r="K168" i="2"/>
  <c r="J168" i="2"/>
  <c r="I168" i="2"/>
  <c r="L168" i="2" s="1"/>
  <c r="H168" i="2"/>
  <c r="F168" i="2"/>
  <c r="E168" i="2"/>
  <c r="D168" i="2"/>
  <c r="C168" i="2"/>
  <c r="B168" i="2"/>
  <c r="A168" i="2"/>
  <c r="K167" i="2"/>
  <c r="J167" i="2"/>
  <c r="I167" i="2"/>
  <c r="H167" i="2"/>
  <c r="L167" i="2" s="1"/>
  <c r="E167" i="2"/>
  <c r="F167" i="2" s="1"/>
  <c r="D167" i="2"/>
  <c r="C167" i="2"/>
  <c r="B167" i="2"/>
  <c r="A167" i="2"/>
  <c r="L166" i="2"/>
  <c r="K166" i="2"/>
  <c r="J166" i="2"/>
  <c r="I166" i="2"/>
  <c r="H166" i="2"/>
  <c r="E166" i="2"/>
  <c r="D166" i="2"/>
  <c r="C166" i="2"/>
  <c r="F166" i="2" s="1"/>
  <c r="B166" i="2"/>
  <c r="A166" i="2"/>
  <c r="L165" i="2"/>
  <c r="K165" i="2"/>
  <c r="J165" i="2"/>
  <c r="I165" i="2"/>
  <c r="H165" i="2"/>
  <c r="E165" i="2"/>
  <c r="D165" i="2"/>
  <c r="C165" i="2"/>
  <c r="F165" i="2" s="1"/>
  <c r="B165" i="2"/>
  <c r="A165" i="2"/>
  <c r="K164" i="2"/>
  <c r="J164" i="2"/>
  <c r="I164" i="2"/>
  <c r="H164" i="2"/>
  <c r="E164" i="2"/>
  <c r="D164" i="2"/>
  <c r="F164" i="2" s="1"/>
  <c r="G164" i="2" s="1"/>
  <c r="C164" i="2"/>
  <c r="B164" i="2"/>
  <c r="A164" i="2"/>
  <c r="K163" i="2"/>
  <c r="J163" i="2"/>
  <c r="I163" i="2"/>
  <c r="H163" i="2"/>
  <c r="E163" i="2"/>
  <c r="D163" i="2"/>
  <c r="C163" i="2"/>
  <c r="F163" i="2" s="1"/>
  <c r="G163" i="2" s="1"/>
  <c r="B163" i="2"/>
  <c r="A163" i="2"/>
  <c r="K162" i="2"/>
  <c r="J162" i="2"/>
  <c r="L162" i="2" s="1"/>
  <c r="I162" i="2"/>
  <c r="H162" i="2"/>
  <c r="E162" i="2"/>
  <c r="D162" i="2"/>
  <c r="C162" i="2"/>
  <c r="B162" i="2"/>
  <c r="A162" i="2"/>
  <c r="K161" i="2"/>
  <c r="J161" i="2"/>
  <c r="I161" i="2"/>
  <c r="H161" i="2"/>
  <c r="E161" i="2"/>
  <c r="D161" i="2"/>
  <c r="C161" i="2"/>
  <c r="F161" i="2" s="1"/>
  <c r="G161" i="2" s="1"/>
  <c r="B161" i="2"/>
  <c r="A161" i="2"/>
  <c r="K160" i="2"/>
  <c r="J160" i="2"/>
  <c r="I160" i="2"/>
  <c r="H160" i="2"/>
  <c r="L160" i="2" s="1"/>
  <c r="E160" i="2"/>
  <c r="D160" i="2"/>
  <c r="C160" i="2"/>
  <c r="F160" i="2" s="1"/>
  <c r="G160" i="2" s="1"/>
  <c r="M160" i="2" s="1"/>
  <c r="B160" i="2"/>
  <c r="A160" i="2"/>
  <c r="K159" i="2"/>
  <c r="J159" i="2"/>
  <c r="I159" i="2"/>
  <c r="L159" i="2" s="1"/>
  <c r="H159" i="2"/>
  <c r="F159" i="2"/>
  <c r="E159" i="2"/>
  <c r="D159" i="2"/>
  <c r="C159" i="2"/>
  <c r="B159" i="2"/>
  <c r="A159" i="2"/>
  <c r="K158" i="2"/>
  <c r="J158" i="2"/>
  <c r="I158" i="2"/>
  <c r="L158" i="2" s="1"/>
  <c r="H158" i="2"/>
  <c r="F158" i="2"/>
  <c r="E158" i="2"/>
  <c r="D158" i="2"/>
  <c r="C158" i="2"/>
  <c r="B158" i="2"/>
  <c r="A158" i="2"/>
  <c r="K157" i="2"/>
  <c r="J157" i="2"/>
  <c r="I157" i="2"/>
  <c r="H157" i="2"/>
  <c r="L157" i="2" s="1"/>
  <c r="E157" i="2"/>
  <c r="F157" i="2" s="1"/>
  <c r="D157" i="2"/>
  <c r="C157" i="2"/>
  <c r="B157" i="2"/>
  <c r="A157" i="2"/>
  <c r="L156" i="2"/>
  <c r="K156" i="2"/>
  <c r="J156" i="2"/>
  <c r="I156" i="2"/>
  <c r="H156" i="2"/>
  <c r="E156" i="2"/>
  <c r="D156" i="2"/>
  <c r="C156" i="2"/>
  <c r="F156" i="2" s="1"/>
  <c r="B156" i="2"/>
  <c r="A156" i="2"/>
  <c r="L155" i="2"/>
  <c r="K155" i="2"/>
  <c r="J155" i="2"/>
  <c r="I155" i="2"/>
  <c r="H155" i="2"/>
  <c r="E155" i="2"/>
  <c r="D155" i="2"/>
  <c r="C155" i="2"/>
  <c r="F155" i="2" s="1"/>
  <c r="B155" i="2"/>
  <c r="A155" i="2"/>
  <c r="K154" i="2"/>
  <c r="J154" i="2"/>
  <c r="I154" i="2"/>
  <c r="H154" i="2"/>
  <c r="E154" i="2"/>
  <c r="D154" i="2"/>
  <c r="F154" i="2" s="1"/>
  <c r="G154" i="2" s="1"/>
  <c r="C154" i="2"/>
  <c r="B154" i="2"/>
  <c r="A154" i="2"/>
  <c r="K153" i="2"/>
  <c r="J153" i="2"/>
  <c r="I153" i="2"/>
  <c r="H153" i="2"/>
  <c r="E153" i="2"/>
  <c r="D153" i="2"/>
  <c r="C153" i="2"/>
  <c r="F153" i="2" s="1"/>
  <c r="G153" i="2" s="1"/>
  <c r="B153" i="2"/>
  <c r="A153" i="2"/>
  <c r="K152" i="2"/>
  <c r="J152" i="2"/>
  <c r="L152" i="2" s="1"/>
  <c r="I152" i="2"/>
  <c r="H152" i="2"/>
  <c r="E152" i="2"/>
  <c r="D152" i="2"/>
  <c r="C152" i="2"/>
  <c r="B152" i="2"/>
  <c r="A152" i="2"/>
  <c r="K151" i="2"/>
  <c r="J151" i="2"/>
  <c r="I151" i="2"/>
  <c r="H151" i="2"/>
  <c r="E151" i="2"/>
  <c r="D151" i="2"/>
  <c r="C151" i="2"/>
  <c r="F151" i="2" s="1"/>
  <c r="G151" i="2" s="1"/>
  <c r="B151" i="2"/>
  <c r="A151" i="2"/>
  <c r="K150" i="2"/>
  <c r="J150" i="2"/>
  <c r="I150" i="2"/>
  <c r="H150" i="2"/>
  <c r="L150" i="2" s="1"/>
  <c r="E150" i="2"/>
  <c r="D150" i="2"/>
  <c r="C150" i="2"/>
  <c r="F150" i="2" s="1"/>
  <c r="G150" i="2" s="1"/>
  <c r="M150" i="2" s="1"/>
  <c r="B150" i="2"/>
  <c r="A150" i="2"/>
  <c r="K149" i="2"/>
  <c r="J149" i="2"/>
  <c r="I149" i="2"/>
  <c r="L149" i="2" s="1"/>
  <c r="H149" i="2"/>
  <c r="F149" i="2"/>
  <c r="E149" i="2"/>
  <c r="D149" i="2"/>
  <c r="C149" i="2"/>
  <c r="B149" i="2"/>
  <c r="A149" i="2"/>
  <c r="K148" i="2"/>
  <c r="J148" i="2"/>
  <c r="I148" i="2"/>
  <c r="L148" i="2" s="1"/>
  <c r="H148" i="2"/>
  <c r="F148" i="2"/>
  <c r="E148" i="2"/>
  <c r="D148" i="2"/>
  <c r="C148" i="2"/>
  <c r="B148" i="2"/>
  <c r="A148" i="2"/>
  <c r="K147" i="2"/>
  <c r="J147" i="2"/>
  <c r="I147" i="2"/>
  <c r="H147" i="2"/>
  <c r="L147" i="2" s="1"/>
  <c r="E147" i="2"/>
  <c r="F147" i="2" s="1"/>
  <c r="D147" i="2"/>
  <c r="C147" i="2"/>
  <c r="B147" i="2"/>
  <c r="A147" i="2"/>
  <c r="L146" i="2"/>
  <c r="K146" i="2"/>
  <c r="J146" i="2"/>
  <c r="I146" i="2"/>
  <c r="H146" i="2"/>
  <c r="E146" i="2"/>
  <c r="D146" i="2"/>
  <c r="C146" i="2"/>
  <c r="F146" i="2" s="1"/>
  <c r="B146" i="2"/>
  <c r="A146" i="2"/>
  <c r="L145" i="2"/>
  <c r="K145" i="2"/>
  <c r="J145" i="2"/>
  <c r="I145" i="2"/>
  <c r="H145" i="2"/>
  <c r="E145" i="2"/>
  <c r="D145" i="2"/>
  <c r="C145" i="2"/>
  <c r="F145" i="2" s="1"/>
  <c r="B145" i="2"/>
  <c r="A145" i="2"/>
  <c r="K144" i="2"/>
  <c r="J144" i="2"/>
  <c r="I144" i="2"/>
  <c r="H144" i="2"/>
  <c r="E144" i="2"/>
  <c r="D144" i="2"/>
  <c r="F144" i="2" s="1"/>
  <c r="G144" i="2" s="1"/>
  <c r="C144" i="2"/>
  <c r="B144" i="2"/>
  <c r="A144" i="2"/>
  <c r="K143" i="2"/>
  <c r="J143" i="2"/>
  <c r="I143" i="2"/>
  <c r="H143" i="2"/>
  <c r="E143" i="2"/>
  <c r="D143" i="2"/>
  <c r="C143" i="2"/>
  <c r="F143" i="2" s="1"/>
  <c r="G143" i="2" s="1"/>
  <c r="B143" i="2"/>
  <c r="A143" i="2"/>
  <c r="K142" i="2"/>
  <c r="J142" i="2"/>
  <c r="L142" i="2" s="1"/>
  <c r="I142" i="2"/>
  <c r="H142" i="2"/>
  <c r="E142" i="2"/>
  <c r="D142" i="2"/>
  <c r="C142" i="2"/>
  <c r="B142" i="2"/>
  <c r="A142" i="2"/>
  <c r="K141" i="2"/>
  <c r="J141" i="2"/>
  <c r="I141" i="2"/>
  <c r="H141" i="2"/>
  <c r="E141" i="2"/>
  <c r="D141" i="2"/>
  <c r="C141" i="2"/>
  <c r="F141" i="2" s="1"/>
  <c r="G141" i="2" s="1"/>
  <c r="B141" i="2"/>
  <c r="A141" i="2"/>
  <c r="K140" i="2"/>
  <c r="J140" i="2"/>
  <c r="I140" i="2"/>
  <c r="H140" i="2"/>
  <c r="L140" i="2" s="1"/>
  <c r="E140" i="2"/>
  <c r="D140" i="2"/>
  <c r="C140" i="2"/>
  <c r="F140" i="2" s="1"/>
  <c r="G140" i="2" s="1"/>
  <c r="M140" i="2" s="1"/>
  <c r="B140" i="2"/>
  <c r="A140" i="2"/>
  <c r="K139" i="2"/>
  <c r="J139" i="2"/>
  <c r="I139" i="2"/>
  <c r="L139" i="2" s="1"/>
  <c r="H139" i="2"/>
  <c r="F139" i="2"/>
  <c r="E139" i="2"/>
  <c r="D139" i="2"/>
  <c r="C139" i="2"/>
  <c r="B139" i="2"/>
  <c r="A139" i="2"/>
  <c r="K138" i="2"/>
  <c r="J138" i="2"/>
  <c r="I138" i="2"/>
  <c r="L138" i="2" s="1"/>
  <c r="H138" i="2"/>
  <c r="F138" i="2"/>
  <c r="E138" i="2"/>
  <c r="D138" i="2"/>
  <c r="C138" i="2"/>
  <c r="B138" i="2"/>
  <c r="A138" i="2"/>
  <c r="K137" i="2"/>
  <c r="J137" i="2"/>
  <c r="I137" i="2"/>
  <c r="H137" i="2"/>
  <c r="L137" i="2" s="1"/>
  <c r="E137" i="2"/>
  <c r="F137" i="2" s="1"/>
  <c r="D137" i="2"/>
  <c r="C137" i="2"/>
  <c r="B137" i="2"/>
  <c r="A137" i="2"/>
  <c r="K136" i="2"/>
  <c r="L136" i="2" s="1"/>
  <c r="J136" i="2"/>
  <c r="I136" i="2"/>
  <c r="H136" i="2"/>
  <c r="E136" i="2"/>
  <c r="D136" i="2"/>
  <c r="C136" i="2"/>
  <c r="B136" i="2"/>
  <c r="A136" i="2"/>
  <c r="L135" i="2"/>
  <c r="K135" i="2"/>
  <c r="J135" i="2"/>
  <c r="I135" i="2"/>
  <c r="H135" i="2"/>
  <c r="E135" i="2"/>
  <c r="D135" i="2"/>
  <c r="C135" i="2"/>
  <c r="F135" i="2" s="1"/>
  <c r="B135" i="2"/>
  <c r="G135" i="2" s="1"/>
  <c r="M135" i="2" s="1"/>
  <c r="A135" i="2"/>
  <c r="K134" i="2"/>
  <c r="J134" i="2"/>
  <c r="I134" i="2"/>
  <c r="H134" i="2"/>
  <c r="E134" i="2"/>
  <c r="D134" i="2"/>
  <c r="F134" i="2" s="1"/>
  <c r="G134" i="2" s="1"/>
  <c r="C134" i="2"/>
  <c r="B134" i="2"/>
  <c r="A134" i="2"/>
  <c r="K133" i="2"/>
  <c r="J133" i="2"/>
  <c r="I133" i="2"/>
  <c r="H133" i="2"/>
  <c r="E133" i="2"/>
  <c r="D133" i="2"/>
  <c r="C133" i="2"/>
  <c r="F133" i="2" s="1"/>
  <c r="G133" i="2" s="1"/>
  <c r="B133" i="2"/>
  <c r="A133" i="2"/>
  <c r="K132" i="2"/>
  <c r="J132" i="2"/>
  <c r="L132" i="2" s="1"/>
  <c r="I132" i="2"/>
  <c r="H132" i="2"/>
  <c r="E132" i="2"/>
  <c r="D132" i="2"/>
  <c r="C132" i="2"/>
  <c r="F132" i="2" s="1"/>
  <c r="B132" i="2"/>
  <c r="G132" i="2" s="1"/>
  <c r="A132" i="2"/>
  <c r="K131" i="2"/>
  <c r="J131" i="2"/>
  <c r="I131" i="2"/>
  <c r="H131" i="2"/>
  <c r="L131" i="2" s="1"/>
  <c r="E131" i="2"/>
  <c r="F131" i="2" s="1"/>
  <c r="G131" i="2" s="1"/>
  <c r="M131" i="2" s="1"/>
  <c r="D131" i="2"/>
  <c r="C131" i="2"/>
  <c r="B131" i="2"/>
  <c r="A131" i="2"/>
  <c r="K130" i="2"/>
  <c r="J130" i="2"/>
  <c r="I130" i="2"/>
  <c r="H130" i="2"/>
  <c r="G130" i="2"/>
  <c r="F130" i="2"/>
  <c r="E130" i="2"/>
  <c r="D130" i="2"/>
  <c r="C130" i="2"/>
  <c r="B130" i="2"/>
  <c r="A130" i="2"/>
  <c r="L129" i="2"/>
  <c r="K129" i="2"/>
  <c r="J129" i="2"/>
  <c r="I129" i="2"/>
  <c r="H129" i="2"/>
  <c r="E129" i="2"/>
  <c r="D129" i="2"/>
  <c r="C129" i="2"/>
  <c r="F129" i="2" s="1"/>
  <c r="B129" i="2"/>
  <c r="A129" i="2"/>
  <c r="L128" i="2"/>
  <c r="K128" i="2"/>
  <c r="J128" i="2"/>
  <c r="I128" i="2"/>
  <c r="H128" i="2"/>
  <c r="E128" i="2"/>
  <c r="D128" i="2"/>
  <c r="C128" i="2"/>
  <c r="F128" i="2" s="1"/>
  <c r="B128" i="2"/>
  <c r="A128" i="2"/>
  <c r="L127" i="2"/>
  <c r="K127" i="2"/>
  <c r="J127" i="2"/>
  <c r="I127" i="2"/>
  <c r="H127" i="2"/>
  <c r="E127" i="2"/>
  <c r="F127" i="2" s="1"/>
  <c r="D127" i="2"/>
  <c r="C127" i="2"/>
  <c r="B127" i="2"/>
  <c r="A127" i="2"/>
  <c r="K126" i="2"/>
  <c r="J126" i="2"/>
  <c r="I126" i="2"/>
  <c r="H126" i="2"/>
  <c r="L126" i="2" s="1"/>
  <c r="E126" i="2"/>
  <c r="D126" i="2"/>
  <c r="C126" i="2"/>
  <c r="B126" i="2"/>
  <c r="A126" i="2"/>
  <c r="K125" i="2"/>
  <c r="J125" i="2"/>
  <c r="I125" i="2"/>
  <c r="H125" i="2"/>
  <c r="L125" i="2" s="1"/>
  <c r="E125" i="2"/>
  <c r="D125" i="2"/>
  <c r="C125" i="2"/>
  <c r="B125" i="2"/>
  <c r="A125" i="2"/>
  <c r="K124" i="2"/>
  <c r="J124" i="2"/>
  <c r="I124" i="2"/>
  <c r="H124" i="2"/>
  <c r="L124" i="2" s="1"/>
  <c r="F124" i="2"/>
  <c r="G124" i="2" s="1"/>
  <c r="M124" i="2" s="1"/>
  <c r="E124" i="2"/>
  <c r="D124" i="2"/>
  <c r="C124" i="2"/>
  <c r="B124" i="2"/>
  <c r="A124" i="2"/>
  <c r="K123" i="2"/>
  <c r="J123" i="2"/>
  <c r="I123" i="2"/>
  <c r="H123" i="2"/>
  <c r="L123" i="2" s="1"/>
  <c r="E123" i="2"/>
  <c r="D123" i="2"/>
  <c r="C123" i="2"/>
  <c r="B123" i="2"/>
  <c r="A123" i="2"/>
  <c r="K122" i="2"/>
  <c r="L122" i="2" s="1"/>
  <c r="J122" i="2"/>
  <c r="I122" i="2"/>
  <c r="H122" i="2"/>
  <c r="E122" i="2"/>
  <c r="D122" i="2"/>
  <c r="C122" i="2"/>
  <c r="F122" i="2" s="1"/>
  <c r="B122" i="2"/>
  <c r="A122" i="2"/>
  <c r="K121" i="2"/>
  <c r="J121" i="2"/>
  <c r="I121" i="2"/>
  <c r="H121" i="2"/>
  <c r="E121" i="2"/>
  <c r="D121" i="2"/>
  <c r="C121" i="2"/>
  <c r="F121" i="2" s="1"/>
  <c r="G121" i="2" s="1"/>
  <c r="B121" i="2"/>
  <c r="A121" i="2"/>
  <c r="K120" i="2"/>
  <c r="J120" i="2"/>
  <c r="I120" i="2"/>
  <c r="H120" i="2"/>
  <c r="L120" i="2" s="1"/>
  <c r="F120" i="2"/>
  <c r="G120" i="2" s="1"/>
  <c r="M120" i="2" s="1"/>
  <c r="E120" i="2"/>
  <c r="D120" i="2"/>
  <c r="C120" i="2"/>
  <c r="B120" i="2"/>
  <c r="A120" i="2"/>
  <c r="K119" i="2"/>
  <c r="J119" i="2"/>
  <c r="I119" i="2"/>
  <c r="L119" i="2" s="1"/>
  <c r="H119" i="2"/>
  <c r="E119" i="2"/>
  <c r="D119" i="2"/>
  <c r="C119" i="2"/>
  <c r="F119" i="2" s="1"/>
  <c r="B119" i="2"/>
  <c r="A119" i="2"/>
  <c r="L118" i="2"/>
  <c r="K118" i="2"/>
  <c r="J118" i="2"/>
  <c r="I118" i="2"/>
  <c r="H118" i="2"/>
  <c r="E118" i="2"/>
  <c r="D118" i="2"/>
  <c r="C118" i="2"/>
  <c r="F118" i="2" s="1"/>
  <c r="B118" i="2"/>
  <c r="G118" i="2" s="1"/>
  <c r="M118" i="2" s="1"/>
  <c r="A118" i="2"/>
  <c r="L117" i="2"/>
  <c r="K117" i="2"/>
  <c r="J117" i="2"/>
  <c r="I117" i="2"/>
  <c r="H117" i="2"/>
  <c r="E117" i="2"/>
  <c r="F117" i="2" s="1"/>
  <c r="D117" i="2"/>
  <c r="C117" i="2"/>
  <c r="B117" i="2"/>
  <c r="A117" i="2"/>
  <c r="K116" i="2"/>
  <c r="J116" i="2"/>
  <c r="I116" i="2"/>
  <c r="H116" i="2"/>
  <c r="L116" i="2" s="1"/>
  <c r="E116" i="2"/>
  <c r="D116" i="2"/>
  <c r="C116" i="2"/>
  <c r="B116" i="2"/>
  <c r="A116" i="2"/>
  <c r="K115" i="2"/>
  <c r="J115" i="2"/>
  <c r="I115" i="2"/>
  <c r="H115" i="2"/>
  <c r="L115" i="2" s="1"/>
  <c r="G115" i="2"/>
  <c r="M115" i="2" s="1"/>
  <c r="F115" i="2"/>
  <c r="E115" i="2"/>
  <c r="D115" i="2"/>
  <c r="C115" i="2"/>
  <c r="B115" i="2"/>
  <c r="A115" i="2"/>
  <c r="K114" i="2"/>
  <c r="J114" i="2"/>
  <c r="I114" i="2"/>
  <c r="H114" i="2"/>
  <c r="E114" i="2"/>
  <c r="D114" i="2"/>
  <c r="F114" i="2" s="1"/>
  <c r="G114" i="2" s="1"/>
  <c r="C114" i="2"/>
  <c r="B114" i="2"/>
  <c r="A114" i="2"/>
  <c r="K113" i="2"/>
  <c r="L113" i="2" s="1"/>
  <c r="J113" i="2"/>
  <c r="I113" i="2"/>
  <c r="H113" i="2"/>
  <c r="E113" i="2"/>
  <c r="D113" i="2"/>
  <c r="C113" i="2"/>
  <c r="F113" i="2" s="1"/>
  <c r="B113" i="2"/>
  <c r="G113" i="2" s="1"/>
  <c r="M113" i="2" s="1"/>
  <c r="A113" i="2"/>
  <c r="L112" i="2"/>
  <c r="K112" i="2"/>
  <c r="J112" i="2"/>
  <c r="I112" i="2"/>
  <c r="H112" i="2"/>
  <c r="E112" i="2"/>
  <c r="D112" i="2"/>
  <c r="C112" i="2"/>
  <c r="F112" i="2" s="1"/>
  <c r="B112" i="2"/>
  <c r="G112" i="2" s="1"/>
  <c r="M112" i="2" s="1"/>
  <c r="A112" i="2"/>
  <c r="K111" i="2"/>
  <c r="J111" i="2"/>
  <c r="I111" i="2"/>
  <c r="H111" i="2"/>
  <c r="L111" i="2" s="1"/>
  <c r="E111" i="2"/>
  <c r="F111" i="2" s="1"/>
  <c r="G111" i="2" s="1"/>
  <c r="M111" i="2" s="1"/>
  <c r="D111" i="2"/>
  <c r="C111" i="2"/>
  <c r="B111" i="2"/>
  <c r="A111" i="2"/>
  <c r="K110" i="2"/>
  <c r="J110" i="2"/>
  <c r="I110" i="2"/>
  <c r="H110" i="2"/>
  <c r="L110" i="2" s="1"/>
  <c r="E110" i="2"/>
  <c r="D110" i="2"/>
  <c r="C110" i="2"/>
  <c r="F110" i="2" s="1"/>
  <c r="G110" i="2" s="1"/>
  <c r="M110" i="2" s="1"/>
  <c r="B110" i="2"/>
  <c r="A110" i="2"/>
  <c r="K109" i="2"/>
  <c r="L109" i="2" s="1"/>
  <c r="J109" i="2"/>
  <c r="I109" i="2"/>
  <c r="H109" i="2"/>
  <c r="E109" i="2"/>
  <c r="D109" i="2"/>
  <c r="C109" i="2"/>
  <c r="F109" i="2" s="1"/>
  <c r="B109" i="2"/>
  <c r="A109" i="2"/>
  <c r="L108" i="2"/>
  <c r="K108" i="2"/>
  <c r="J108" i="2"/>
  <c r="I108" i="2"/>
  <c r="H108" i="2"/>
  <c r="E108" i="2"/>
  <c r="D108" i="2"/>
  <c r="C108" i="2"/>
  <c r="F108" i="2" s="1"/>
  <c r="B108" i="2"/>
  <c r="G108" i="2" s="1"/>
  <c r="M108" i="2" s="1"/>
  <c r="A108" i="2"/>
  <c r="K107" i="2"/>
  <c r="J107" i="2"/>
  <c r="I107" i="2"/>
  <c r="H107" i="2"/>
  <c r="L107" i="2" s="1"/>
  <c r="E107" i="2"/>
  <c r="F107" i="2" s="1"/>
  <c r="G107" i="2" s="1"/>
  <c r="M107" i="2" s="1"/>
  <c r="D107" i="2"/>
  <c r="C107" i="2"/>
  <c r="B107" i="2"/>
  <c r="A107" i="2"/>
  <c r="K106" i="2"/>
  <c r="J106" i="2"/>
  <c r="I106" i="2"/>
  <c r="H106" i="2"/>
  <c r="L106" i="2" s="1"/>
  <c r="E106" i="2"/>
  <c r="D106" i="2"/>
  <c r="C106" i="2"/>
  <c r="B106" i="2"/>
  <c r="A106" i="2"/>
  <c r="K105" i="2"/>
  <c r="J105" i="2"/>
  <c r="I105" i="2"/>
  <c r="H105" i="2"/>
  <c r="L105" i="2" s="1"/>
  <c r="E105" i="2"/>
  <c r="D105" i="2"/>
  <c r="C105" i="2"/>
  <c r="F105" i="2" s="1"/>
  <c r="B105" i="2"/>
  <c r="A105" i="2"/>
  <c r="K104" i="2"/>
  <c r="J104" i="2"/>
  <c r="I104" i="2"/>
  <c r="H104" i="2"/>
  <c r="E104" i="2"/>
  <c r="F104" i="2" s="1"/>
  <c r="G104" i="2" s="1"/>
  <c r="D104" i="2"/>
  <c r="C104" i="2"/>
  <c r="B104" i="2"/>
  <c r="A104" i="2"/>
  <c r="L103" i="2"/>
  <c r="K103" i="2"/>
  <c r="J103" i="2"/>
  <c r="I103" i="2"/>
  <c r="H103" i="2"/>
  <c r="E103" i="2"/>
  <c r="D103" i="2"/>
  <c r="C103" i="2"/>
  <c r="B103" i="2"/>
  <c r="A103" i="2"/>
  <c r="K102" i="2"/>
  <c r="J102" i="2"/>
  <c r="L102" i="2" s="1"/>
  <c r="I102" i="2"/>
  <c r="H102" i="2"/>
  <c r="E102" i="2"/>
  <c r="F102" i="2" s="1"/>
  <c r="G102" i="2" s="1"/>
  <c r="M102" i="2" s="1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L100" i="2"/>
  <c r="K100" i="2"/>
  <c r="J100" i="2"/>
  <c r="I100" i="2"/>
  <c r="H100" i="2"/>
  <c r="E100" i="2"/>
  <c r="D100" i="2"/>
  <c r="C100" i="2"/>
  <c r="F100" i="2" s="1"/>
  <c r="B100" i="2"/>
  <c r="G100" i="2" s="1"/>
  <c r="M100" i="2" s="1"/>
  <c r="A100" i="2"/>
  <c r="L99" i="2"/>
  <c r="K99" i="2"/>
  <c r="J99" i="2"/>
  <c r="I99" i="2"/>
  <c r="H99" i="2"/>
  <c r="E99" i="2"/>
  <c r="D99" i="2"/>
  <c r="C99" i="2"/>
  <c r="F99" i="2" s="1"/>
  <c r="B99" i="2"/>
  <c r="A99" i="2"/>
  <c r="K98" i="2"/>
  <c r="J98" i="2"/>
  <c r="I98" i="2"/>
  <c r="H98" i="2"/>
  <c r="L98" i="2" s="1"/>
  <c r="E98" i="2"/>
  <c r="F98" i="2" s="1"/>
  <c r="G98" i="2" s="1"/>
  <c r="M98" i="2" s="1"/>
  <c r="D98" i="2"/>
  <c r="C98" i="2"/>
  <c r="B98" i="2"/>
  <c r="A98" i="2"/>
  <c r="K97" i="2"/>
  <c r="J97" i="2"/>
  <c r="I97" i="2"/>
  <c r="H97" i="2"/>
  <c r="L97" i="2" s="1"/>
  <c r="G97" i="2"/>
  <c r="F97" i="2"/>
  <c r="E97" i="2"/>
  <c r="D97" i="2"/>
  <c r="C97" i="2"/>
  <c r="B97" i="2"/>
  <c r="A97" i="2"/>
  <c r="L96" i="2"/>
  <c r="K96" i="2"/>
  <c r="J96" i="2"/>
  <c r="I96" i="2"/>
  <c r="H96" i="2"/>
  <c r="E96" i="2"/>
  <c r="D96" i="2"/>
  <c r="C96" i="2"/>
  <c r="F96" i="2" s="1"/>
  <c r="B96" i="2"/>
  <c r="A96" i="2"/>
  <c r="K95" i="2"/>
  <c r="L95" i="2" s="1"/>
  <c r="J95" i="2"/>
  <c r="I95" i="2"/>
  <c r="H95" i="2"/>
  <c r="E95" i="2"/>
  <c r="D95" i="2"/>
  <c r="C95" i="2"/>
  <c r="F95" i="2" s="1"/>
  <c r="B95" i="2"/>
  <c r="G95" i="2" s="1"/>
  <c r="A95" i="2"/>
  <c r="K94" i="2"/>
  <c r="J94" i="2"/>
  <c r="I94" i="2"/>
  <c r="H94" i="2"/>
  <c r="E94" i="2"/>
  <c r="D94" i="2"/>
  <c r="F94" i="2" s="1"/>
  <c r="G94" i="2" s="1"/>
  <c r="C94" i="2"/>
  <c r="B94" i="2"/>
  <c r="A94" i="2"/>
  <c r="K93" i="2"/>
  <c r="J93" i="2"/>
  <c r="I93" i="2"/>
  <c r="H93" i="2"/>
  <c r="L93" i="2" s="1"/>
  <c r="E93" i="2"/>
  <c r="D93" i="2"/>
  <c r="C93" i="2"/>
  <c r="B93" i="2"/>
  <c r="A93" i="2"/>
  <c r="K92" i="2"/>
  <c r="J92" i="2"/>
  <c r="L92" i="2" s="1"/>
  <c r="I92" i="2"/>
  <c r="H92" i="2"/>
  <c r="G92" i="2"/>
  <c r="F92" i="2"/>
  <c r="E92" i="2"/>
  <c r="D92" i="2"/>
  <c r="C92" i="2"/>
  <c r="B92" i="2"/>
  <c r="A92" i="2"/>
  <c r="K91" i="2"/>
  <c r="J91" i="2"/>
  <c r="I91" i="2"/>
  <c r="H91" i="2"/>
  <c r="E91" i="2"/>
  <c r="D91" i="2"/>
  <c r="C91" i="2"/>
  <c r="F91" i="2" s="1"/>
  <c r="G91" i="2" s="1"/>
  <c r="B91" i="2"/>
  <c r="A91" i="2"/>
  <c r="L90" i="2"/>
  <c r="K90" i="2"/>
  <c r="J90" i="2"/>
  <c r="I90" i="2"/>
  <c r="H90" i="2"/>
  <c r="E90" i="2"/>
  <c r="D90" i="2"/>
  <c r="C90" i="2"/>
  <c r="F90" i="2" s="1"/>
  <c r="B90" i="2"/>
  <c r="G90" i="2" s="1"/>
  <c r="M90" i="2" s="1"/>
  <c r="A90" i="2"/>
  <c r="K89" i="2"/>
  <c r="J89" i="2"/>
  <c r="I89" i="2"/>
  <c r="L89" i="2" s="1"/>
  <c r="H89" i="2"/>
  <c r="F89" i="2"/>
  <c r="E89" i="2"/>
  <c r="D89" i="2"/>
  <c r="C89" i="2"/>
  <c r="B89" i="2"/>
  <c r="A89" i="2"/>
  <c r="K88" i="2"/>
  <c r="J88" i="2"/>
  <c r="I88" i="2"/>
  <c r="H88" i="2"/>
  <c r="L88" i="2" s="1"/>
  <c r="G88" i="2"/>
  <c r="F88" i="2"/>
  <c r="E88" i="2"/>
  <c r="D88" i="2"/>
  <c r="C88" i="2"/>
  <c r="B88" i="2"/>
  <c r="A88" i="2"/>
  <c r="K87" i="2"/>
  <c r="J87" i="2"/>
  <c r="I87" i="2"/>
  <c r="H87" i="2"/>
  <c r="L87" i="2" s="1"/>
  <c r="E87" i="2"/>
  <c r="F87" i="2" s="1"/>
  <c r="D87" i="2"/>
  <c r="C87" i="2"/>
  <c r="B87" i="2"/>
  <c r="G87" i="2" s="1"/>
  <c r="M87" i="2" s="1"/>
  <c r="A87" i="2"/>
  <c r="L86" i="2"/>
  <c r="K86" i="2"/>
  <c r="J86" i="2"/>
  <c r="I86" i="2"/>
  <c r="H86" i="2"/>
  <c r="E86" i="2"/>
  <c r="D86" i="2"/>
  <c r="C86" i="2"/>
  <c r="F86" i="2" s="1"/>
  <c r="B86" i="2"/>
  <c r="G86" i="2" s="1"/>
  <c r="M86" i="2" s="1"/>
  <c r="A86" i="2"/>
  <c r="L85" i="2"/>
  <c r="K85" i="2"/>
  <c r="J85" i="2"/>
  <c r="I85" i="2"/>
  <c r="H85" i="2"/>
  <c r="E85" i="2"/>
  <c r="D85" i="2"/>
  <c r="C85" i="2"/>
  <c r="F85" i="2" s="1"/>
  <c r="B85" i="2"/>
  <c r="G85" i="2" s="1"/>
  <c r="M85" i="2" s="1"/>
  <c r="A85" i="2"/>
  <c r="K84" i="2"/>
  <c r="J84" i="2"/>
  <c r="I84" i="2"/>
  <c r="H84" i="2"/>
  <c r="F84" i="2"/>
  <c r="G84" i="2" s="1"/>
  <c r="E84" i="2"/>
  <c r="D84" i="2"/>
  <c r="C84" i="2"/>
  <c r="B84" i="2"/>
  <c r="A84" i="2"/>
  <c r="K83" i="2"/>
  <c r="J83" i="2"/>
  <c r="I83" i="2"/>
  <c r="H83" i="2"/>
  <c r="L83" i="2" s="1"/>
  <c r="G83" i="2"/>
  <c r="E83" i="2"/>
  <c r="D83" i="2"/>
  <c r="C83" i="2"/>
  <c r="F83" i="2" s="1"/>
  <c r="B83" i="2"/>
  <c r="A83" i="2"/>
  <c r="K82" i="2"/>
  <c r="J82" i="2"/>
  <c r="L82" i="2" s="1"/>
  <c r="I82" i="2"/>
  <c r="H82" i="2"/>
  <c r="E82" i="2"/>
  <c r="D82" i="2"/>
  <c r="C82" i="2"/>
  <c r="F82" i="2" s="1"/>
  <c r="B82" i="2"/>
  <c r="G82" i="2" s="1"/>
  <c r="M82" i="2" s="1"/>
  <c r="A82" i="2"/>
  <c r="K81" i="2"/>
  <c r="J81" i="2"/>
  <c r="I81" i="2"/>
  <c r="H81" i="2"/>
  <c r="E81" i="2"/>
  <c r="D81" i="2"/>
  <c r="C81" i="2"/>
  <c r="F81" i="2" s="1"/>
  <c r="G81" i="2" s="1"/>
  <c r="B81" i="2"/>
  <c r="A81" i="2"/>
  <c r="K80" i="2"/>
  <c r="J80" i="2"/>
  <c r="I80" i="2"/>
  <c r="H80" i="2"/>
  <c r="L80" i="2" s="1"/>
  <c r="F80" i="2"/>
  <c r="G80" i="2" s="1"/>
  <c r="E80" i="2"/>
  <c r="D80" i="2"/>
  <c r="C80" i="2"/>
  <c r="B80" i="2"/>
  <c r="A80" i="2"/>
  <c r="K79" i="2"/>
  <c r="J79" i="2"/>
  <c r="I79" i="2"/>
  <c r="L79" i="2" s="1"/>
  <c r="H79" i="2"/>
  <c r="F79" i="2"/>
  <c r="E79" i="2"/>
  <c r="D79" i="2"/>
  <c r="C79" i="2"/>
  <c r="B79" i="2"/>
  <c r="A79" i="2"/>
  <c r="K78" i="2"/>
  <c r="J78" i="2"/>
  <c r="I78" i="2"/>
  <c r="H78" i="2"/>
  <c r="L78" i="2" s="1"/>
  <c r="E78" i="2"/>
  <c r="D78" i="2"/>
  <c r="C78" i="2"/>
  <c r="F78" i="2" s="1"/>
  <c r="B78" i="2"/>
  <c r="G78" i="2" s="1"/>
  <c r="M78" i="2" s="1"/>
  <c r="A78" i="2"/>
  <c r="K77" i="2"/>
  <c r="L77" i="2" s="1"/>
  <c r="J77" i="2"/>
  <c r="I77" i="2"/>
  <c r="H77" i="2"/>
  <c r="F77" i="2"/>
  <c r="E77" i="2"/>
  <c r="D77" i="2"/>
  <c r="C77" i="2"/>
  <c r="B77" i="2"/>
  <c r="G77" i="2" s="1"/>
  <c r="A77" i="2"/>
  <c r="K76" i="2"/>
  <c r="J76" i="2"/>
  <c r="I76" i="2"/>
  <c r="H76" i="2"/>
  <c r="L76" i="2" s="1"/>
  <c r="E76" i="2"/>
  <c r="D76" i="2"/>
  <c r="C76" i="2"/>
  <c r="B76" i="2"/>
  <c r="A76" i="2"/>
  <c r="K75" i="2"/>
  <c r="J75" i="2"/>
  <c r="I75" i="2"/>
  <c r="H75" i="2"/>
  <c r="L75" i="2" s="1"/>
  <c r="E75" i="2"/>
  <c r="F75" i="2" s="1"/>
  <c r="G75" i="2" s="1"/>
  <c r="M75" i="2" s="1"/>
  <c r="D75" i="2"/>
  <c r="C75" i="2"/>
  <c r="B75" i="2"/>
  <c r="A75" i="2"/>
  <c r="K74" i="2"/>
  <c r="J74" i="2"/>
  <c r="I74" i="2"/>
  <c r="H74" i="2"/>
  <c r="L74" i="2" s="1"/>
  <c r="F74" i="2"/>
  <c r="G74" i="2" s="1"/>
  <c r="M74" i="2" s="1"/>
  <c r="E74" i="2"/>
  <c r="D74" i="2"/>
  <c r="C74" i="2"/>
  <c r="B74" i="2"/>
  <c r="A74" i="2"/>
  <c r="K73" i="2"/>
  <c r="J73" i="2"/>
  <c r="I73" i="2"/>
  <c r="H73" i="2"/>
  <c r="L73" i="2" s="1"/>
  <c r="E73" i="2"/>
  <c r="D73" i="2"/>
  <c r="C73" i="2"/>
  <c r="F73" i="2" s="1"/>
  <c r="B73" i="2"/>
  <c r="G73" i="2" s="1"/>
  <c r="A73" i="2"/>
  <c r="K72" i="2"/>
  <c r="L72" i="2" s="1"/>
  <c r="J72" i="2"/>
  <c r="I72" i="2"/>
  <c r="H72" i="2"/>
  <c r="E72" i="2"/>
  <c r="D72" i="2"/>
  <c r="C72" i="2"/>
  <c r="F72" i="2" s="1"/>
  <c r="B72" i="2"/>
  <c r="G72" i="2" s="1"/>
  <c r="M72" i="2" s="1"/>
  <c r="A72" i="2"/>
  <c r="K71" i="2"/>
  <c r="J71" i="2"/>
  <c r="I71" i="2"/>
  <c r="H71" i="2"/>
  <c r="L71" i="2" s="1"/>
  <c r="E71" i="2"/>
  <c r="D71" i="2"/>
  <c r="C71" i="2"/>
  <c r="F71" i="2" s="1"/>
  <c r="G71" i="2" s="1"/>
  <c r="M71" i="2" s="1"/>
  <c r="B71" i="2"/>
  <c r="A71" i="2"/>
  <c r="K70" i="2"/>
  <c r="J70" i="2"/>
  <c r="I70" i="2"/>
  <c r="H70" i="2"/>
  <c r="L70" i="2" s="1"/>
  <c r="F70" i="2"/>
  <c r="G70" i="2" s="1"/>
  <c r="E70" i="2"/>
  <c r="D70" i="2"/>
  <c r="C70" i="2"/>
  <c r="B70" i="2"/>
  <c r="A70" i="2"/>
  <c r="K69" i="2"/>
  <c r="J69" i="2"/>
  <c r="I69" i="2"/>
  <c r="L69" i="2" s="1"/>
  <c r="H69" i="2"/>
  <c r="E69" i="2"/>
  <c r="D69" i="2"/>
  <c r="C69" i="2"/>
  <c r="F69" i="2" s="1"/>
  <c r="B69" i="2"/>
  <c r="A69" i="2"/>
  <c r="L68" i="2"/>
  <c r="K68" i="2"/>
  <c r="J68" i="2"/>
  <c r="I68" i="2"/>
  <c r="H68" i="2"/>
  <c r="E68" i="2"/>
  <c r="D68" i="2"/>
  <c r="C68" i="2"/>
  <c r="F68" i="2" s="1"/>
  <c r="B68" i="2"/>
  <c r="A68" i="2"/>
  <c r="L67" i="2"/>
  <c r="K67" i="2"/>
  <c r="J67" i="2"/>
  <c r="I67" i="2"/>
  <c r="H67" i="2"/>
  <c r="E67" i="2"/>
  <c r="F67" i="2" s="1"/>
  <c r="D67" i="2"/>
  <c r="C67" i="2"/>
  <c r="B67" i="2"/>
  <c r="A67" i="2"/>
  <c r="K66" i="2"/>
  <c r="J66" i="2"/>
  <c r="I66" i="2"/>
  <c r="H66" i="2"/>
  <c r="L66" i="2" s="1"/>
  <c r="E66" i="2"/>
  <c r="D66" i="2"/>
  <c r="C66" i="2"/>
  <c r="B66" i="2"/>
  <c r="A66" i="2"/>
  <c r="K65" i="2"/>
  <c r="J65" i="2"/>
  <c r="I65" i="2"/>
  <c r="H65" i="2"/>
  <c r="L65" i="2" s="1"/>
  <c r="G65" i="2"/>
  <c r="F65" i="2"/>
  <c r="E65" i="2"/>
  <c r="D65" i="2"/>
  <c r="C65" i="2"/>
  <c r="B65" i="2"/>
  <c r="A65" i="2"/>
  <c r="K64" i="2"/>
  <c r="J64" i="2"/>
  <c r="I64" i="2"/>
  <c r="H64" i="2"/>
  <c r="E64" i="2"/>
  <c r="D64" i="2"/>
  <c r="F64" i="2" s="1"/>
  <c r="G64" i="2" s="1"/>
  <c r="C64" i="2"/>
  <c r="B64" i="2"/>
  <c r="A64" i="2"/>
  <c r="K63" i="2"/>
  <c r="L63" i="2" s="1"/>
  <c r="J63" i="2"/>
  <c r="I63" i="2"/>
  <c r="H63" i="2"/>
  <c r="E63" i="2"/>
  <c r="D63" i="2"/>
  <c r="C63" i="2"/>
  <c r="F63" i="2" s="1"/>
  <c r="B63" i="2"/>
  <c r="G63" i="2" s="1"/>
  <c r="M63" i="2" s="1"/>
  <c r="A63" i="2"/>
  <c r="L62" i="2"/>
  <c r="K62" i="2"/>
  <c r="J62" i="2"/>
  <c r="I62" i="2"/>
  <c r="H62" i="2"/>
  <c r="E62" i="2"/>
  <c r="D62" i="2"/>
  <c r="C62" i="2"/>
  <c r="F62" i="2" s="1"/>
  <c r="B62" i="2"/>
  <c r="G62" i="2" s="1"/>
  <c r="M62" i="2" s="1"/>
  <c r="A62" i="2"/>
  <c r="K61" i="2"/>
  <c r="J61" i="2"/>
  <c r="I61" i="2"/>
  <c r="H61" i="2"/>
  <c r="L61" i="2" s="1"/>
  <c r="E61" i="2"/>
  <c r="F61" i="2" s="1"/>
  <c r="G61" i="2" s="1"/>
  <c r="M61" i="2" s="1"/>
  <c r="D61" i="2"/>
  <c r="C61" i="2"/>
  <c r="B61" i="2"/>
  <c r="A61" i="2"/>
  <c r="K60" i="2"/>
  <c r="J60" i="2"/>
  <c r="I60" i="2"/>
  <c r="H60" i="2"/>
  <c r="L60" i="2" s="1"/>
  <c r="E60" i="2"/>
  <c r="D60" i="2"/>
  <c r="C60" i="2"/>
  <c r="F60" i="2" s="1"/>
  <c r="G60" i="2" s="1"/>
  <c r="B60" i="2"/>
  <c r="A60" i="2"/>
  <c r="K59" i="2"/>
  <c r="L59" i="2" s="1"/>
  <c r="J59" i="2"/>
  <c r="I59" i="2"/>
  <c r="H59" i="2"/>
  <c r="E59" i="2"/>
  <c r="D59" i="2"/>
  <c r="C59" i="2"/>
  <c r="F59" i="2" s="1"/>
  <c r="B59" i="2"/>
  <c r="A59" i="2"/>
  <c r="L58" i="2"/>
  <c r="K58" i="2"/>
  <c r="J58" i="2"/>
  <c r="I58" i="2"/>
  <c r="H58" i="2"/>
  <c r="E58" i="2"/>
  <c r="D58" i="2"/>
  <c r="C58" i="2"/>
  <c r="F58" i="2" s="1"/>
  <c r="B58" i="2"/>
  <c r="A58" i="2"/>
  <c r="K57" i="2"/>
  <c r="J57" i="2"/>
  <c r="I57" i="2"/>
  <c r="H57" i="2"/>
  <c r="L57" i="2" s="1"/>
  <c r="E57" i="2"/>
  <c r="F57" i="2" s="1"/>
  <c r="G57" i="2" s="1"/>
  <c r="M57" i="2" s="1"/>
  <c r="D57" i="2"/>
  <c r="C57" i="2"/>
  <c r="B57" i="2"/>
  <c r="A57" i="2"/>
  <c r="K56" i="2"/>
  <c r="J56" i="2"/>
  <c r="I56" i="2"/>
  <c r="H56" i="2"/>
  <c r="E56" i="2"/>
  <c r="D56" i="2"/>
  <c r="C56" i="2"/>
  <c r="B56" i="2"/>
  <c r="A56" i="2"/>
  <c r="K55" i="2"/>
  <c r="J55" i="2"/>
  <c r="I55" i="2"/>
  <c r="H55" i="2"/>
  <c r="L55" i="2" s="1"/>
  <c r="E55" i="2"/>
  <c r="D55" i="2"/>
  <c r="C55" i="2"/>
  <c r="F55" i="2" s="1"/>
  <c r="B55" i="2"/>
  <c r="A55" i="2"/>
  <c r="K54" i="2"/>
  <c r="J54" i="2"/>
  <c r="I54" i="2"/>
  <c r="H54" i="2"/>
  <c r="E54" i="2"/>
  <c r="D54" i="2"/>
  <c r="F54" i="2" s="1"/>
  <c r="G54" i="2" s="1"/>
  <c r="C54" i="2"/>
  <c r="B54" i="2"/>
  <c r="A54" i="2"/>
  <c r="L53" i="2"/>
  <c r="K53" i="2"/>
  <c r="J53" i="2"/>
  <c r="I53" i="2"/>
  <c r="H53" i="2"/>
  <c r="E53" i="2"/>
  <c r="D53" i="2"/>
  <c r="C53" i="2"/>
  <c r="B53" i="2"/>
  <c r="A53" i="2"/>
  <c r="K52" i="2"/>
  <c r="J52" i="2"/>
  <c r="L52" i="2" s="1"/>
  <c r="I52" i="2"/>
  <c r="H52" i="2"/>
  <c r="E52" i="2"/>
  <c r="F52" i="2" s="1"/>
  <c r="G52" i="2" s="1"/>
  <c r="M52" i="2" s="1"/>
  <c r="D52" i="2"/>
  <c r="C52" i="2"/>
  <c r="B52" i="2"/>
  <c r="A52" i="2"/>
  <c r="K51" i="2"/>
  <c r="J51" i="2"/>
  <c r="I51" i="2"/>
  <c r="H51" i="2"/>
  <c r="G51" i="2"/>
  <c r="F51" i="2"/>
  <c r="E51" i="2"/>
  <c r="D51" i="2"/>
  <c r="C51" i="2"/>
  <c r="B51" i="2"/>
  <c r="A51" i="2"/>
  <c r="L50" i="2"/>
  <c r="K50" i="2"/>
  <c r="J50" i="2"/>
  <c r="I50" i="2"/>
  <c r="H50" i="2"/>
  <c r="E50" i="2"/>
  <c r="D50" i="2"/>
  <c r="C50" i="2"/>
  <c r="F50" i="2" s="1"/>
  <c r="B50" i="2"/>
  <c r="A50" i="2"/>
  <c r="L49" i="2"/>
  <c r="K49" i="2"/>
  <c r="J49" i="2"/>
  <c r="I49" i="2"/>
  <c r="H49" i="2"/>
  <c r="E49" i="2"/>
  <c r="D49" i="2"/>
  <c r="C49" i="2"/>
  <c r="F49" i="2" s="1"/>
  <c r="B49" i="2"/>
  <c r="A49" i="2"/>
  <c r="K48" i="2"/>
  <c r="J48" i="2"/>
  <c r="I48" i="2"/>
  <c r="H48" i="2"/>
  <c r="L48" i="2" s="1"/>
  <c r="G48" i="2"/>
  <c r="M48" i="2" s="1"/>
  <c r="E48" i="2"/>
  <c r="F48" i="2" s="1"/>
  <c r="D48" i="2"/>
  <c r="C48" i="2"/>
  <c r="B48" i="2"/>
  <c r="A48" i="2"/>
  <c r="K47" i="2"/>
  <c r="J47" i="2"/>
  <c r="I47" i="2"/>
  <c r="H47" i="2"/>
  <c r="L47" i="2" s="1"/>
  <c r="G47" i="2"/>
  <c r="F47" i="2"/>
  <c r="E47" i="2"/>
  <c r="D47" i="2"/>
  <c r="C47" i="2"/>
  <c r="B47" i="2"/>
  <c r="A47" i="2"/>
  <c r="L46" i="2"/>
  <c r="K46" i="2"/>
  <c r="J46" i="2"/>
  <c r="I46" i="2"/>
  <c r="H46" i="2"/>
  <c r="E46" i="2"/>
  <c r="D46" i="2"/>
  <c r="C46" i="2"/>
  <c r="F46" i="2" s="1"/>
  <c r="B46" i="2"/>
  <c r="A46" i="2"/>
  <c r="M45" i="2"/>
  <c r="K45" i="2"/>
  <c r="L45" i="2" s="1"/>
  <c r="J45" i="2"/>
  <c r="I45" i="2"/>
  <c r="H45" i="2"/>
  <c r="E45" i="2"/>
  <c r="D45" i="2"/>
  <c r="C45" i="2"/>
  <c r="F45" i="2" s="1"/>
  <c r="B45" i="2"/>
  <c r="G45" i="2" s="1"/>
  <c r="A45" i="2"/>
  <c r="K44" i="2"/>
  <c r="J44" i="2"/>
  <c r="I44" i="2"/>
  <c r="H44" i="2"/>
  <c r="E44" i="2"/>
  <c r="D44" i="2"/>
  <c r="F44" i="2" s="1"/>
  <c r="G44" i="2" s="1"/>
  <c r="C44" i="2"/>
  <c r="B44" i="2"/>
  <c r="A44" i="2"/>
  <c r="K43" i="2"/>
  <c r="J43" i="2"/>
  <c r="I43" i="2"/>
  <c r="H43" i="2"/>
  <c r="L43" i="2" s="1"/>
  <c r="E43" i="2"/>
  <c r="D43" i="2"/>
  <c r="C43" i="2"/>
  <c r="B43" i="2"/>
  <c r="A43" i="2"/>
  <c r="K42" i="2"/>
  <c r="J42" i="2"/>
  <c r="L42" i="2" s="1"/>
  <c r="I42" i="2"/>
  <c r="H42" i="2"/>
  <c r="G42" i="2"/>
  <c r="M42" i="2" s="1"/>
  <c r="F42" i="2"/>
  <c r="E42" i="2"/>
  <c r="D42" i="2"/>
  <c r="C42" i="2"/>
  <c r="B42" i="2"/>
  <c r="A42" i="2"/>
  <c r="K41" i="2"/>
  <c r="J41" i="2"/>
  <c r="I41" i="2"/>
  <c r="H41" i="2"/>
  <c r="E41" i="2"/>
  <c r="D41" i="2"/>
  <c r="C41" i="2"/>
  <c r="F41" i="2" s="1"/>
  <c r="G41" i="2" s="1"/>
  <c r="B41" i="2"/>
  <c r="A41" i="2"/>
  <c r="L40" i="2"/>
  <c r="K40" i="2"/>
  <c r="J40" i="2"/>
  <c r="I40" i="2"/>
  <c r="H40" i="2"/>
  <c r="E40" i="2"/>
  <c r="D40" i="2"/>
  <c r="C40" i="2"/>
  <c r="F40" i="2" s="1"/>
  <c r="B40" i="2"/>
  <c r="A40" i="2"/>
  <c r="K39" i="2"/>
  <c r="J39" i="2"/>
  <c r="I39" i="2"/>
  <c r="L39" i="2" s="1"/>
  <c r="H39" i="2"/>
  <c r="F39" i="2"/>
  <c r="E39" i="2"/>
  <c r="D39" i="2"/>
  <c r="C39" i="2"/>
  <c r="B39" i="2"/>
  <c r="A39" i="2"/>
  <c r="K38" i="2"/>
  <c r="J38" i="2"/>
  <c r="I38" i="2"/>
  <c r="H38" i="2"/>
  <c r="L38" i="2" s="1"/>
  <c r="G38" i="2"/>
  <c r="M38" i="2" s="1"/>
  <c r="F38" i="2"/>
  <c r="E38" i="2"/>
  <c r="D38" i="2"/>
  <c r="C38" i="2"/>
  <c r="B38" i="2"/>
  <c r="A38" i="2"/>
  <c r="K37" i="2"/>
  <c r="J37" i="2"/>
  <c r="I37" i="2"/>
  <c r="H37" i="2"/>
  <c r="L37" i="2" s="1"/>
  <c r="E37" i="2"/>
  <c r="F37" i="2" s="1"/>
  <c r="D37" i="2"/>
  <c r="C37" i="2"/>
  <c r="B37" i="2"/>
  <c r="G37" i="2" s="1"/>
  <c r="A37" i="2"/>
  <c r="L36" i="2"/>
  <c r="K36" i="2"/>
  <c r="J36" i="2"/>
  <c r="I36" i="2"/>
  <c r="H36" i="2"/>
  <c r="E36" i="2"/>
  <c r="D36" i="2"/>
  <c r="C36" i="2"/>
  <c r="F36" i="2" s="1"/>
  <c r="B36" i="2"/>
  <c r="G36" i="2" s="1"/>
  <c r="M36" i="2" s="1"/>
  <c r="A36" i="2"/>
  <c r="L35" i="2"/>
  <c r="K35" i="2"/>
  <c r="J35" i="2"/>
  <c r="I35" i="2"/>
  <c r="H35" i="2"/>
  <c r="E35" i="2"/>
  <c r="D35" i="2"/>
  <c r="C35" i="2"/>
  <c r="F35" i="2" s="1"/>
  <c r="B35" i="2"/>
  <c r="A35" i="2"/>
  <c r="K34" i="2"/>
  <c r="J34" i="2"/>
  <c r="I34" i="2"/>
  <c r="H34" i="2"/>
  <c r="F34" i="2"/>
  <c r="G34" i="2" s="1"/>
  <c r="E34" i="2"/>
  <c r="D34" i="2"/>
  <c r="C34" i="2"/>
  <c r="B34" i="2"/>
  <c r="A34" i="2"/>
  <c r="K33" i="2"/>
  <c r="J33" i="2"/>
  <c r="I33" i="2"/>
  <c r="H33" i="2"/>
  <c r="L33" i="2" s="1"/>
  <c r="G33" i="2"/>
  <c r="M33" i="2" s="1"/>
  <c r="E33" i="2"/>
  <c r="D33" i="2"/>
  <c r="C33" i="2"/>
  <c r="F33" i="2" s="1"/>
  <c r="B33" i="2"/>
  <c r="A33" i="2"/>
  <c r="K32" i="2"/>
  <c r="J32" i="2"/>
  <c r="L32" i="2" s="1"/>
  <c r="I32" i="2"/>
  <c r="H32" i="2"/>
  <c r="E32" i="2"/>
  <c r="D32" i="2"/>
  <c r="C32" i="2"/>
  <c r="F32" i="2" s="1"/>
  <c r="B32" i="2"/>
  <c r="G32" i="2" s="1"/>
  <c r="A32" i="2"/>
  <c r="K31" i="2"/>
  <c r="J31" i="2"/>
  <c r="I31" i="2"/>
  <c r="H31" i="2"/>
  <c r="E31" i="2"/>
  <c r="D31" i="2"/>
  <c r="C31" i="2"/>
  <c r="F31" i="2" s="1"/>
  <c r="G31" i="2" s="1"/>
  <c r="B31" i="2"/>
  <c r="A31" i="2"/>
  <c r="K30" i="2"/>
  <c r="J30" i="2"/>
  <c r="I30" i="2"/>
  <c r="H30" i="2"/>
  <c r="L30" i="2" s="1"/>
  <c r="F30" i="2"/>
  <c r="G30" i="2" s="1"/>
  <c r="E30" i="2"/>
  <c r="D30" i="2"/>
  <c r="C30" i="2"/>
  <c r="B30" i="2"/>
  <c r="A30" i="2"/>
  <c r="K29" i="2"/>
  <c r="J29" i="2"/>
  <c r="I29" i="2"/>
  <c r="L29" i="2" s="1"/>
  <c r="H29" i="2"/>
  <c r="F29" i="2"/>
  <c r="E29" i="2"/>
  <c r="D29" i="2"/>
  <c r="C29" i="2"/>
  <c r="B29" i="2"/>
  <c r="A29" i="2"/>
  <c r="K28" i="2"/>
  <c r="J28" i="2"/>
  <c r="I28" i="2"/>
  <c r="H28" i="2"/>
  <c r="L28" i="2" s="1"/>
  <c r="E28" i="2"/>
  <c r="D28" i="2"/>
  <c r="C28" i="2"/>
  <c r="F28" i="2" s="1"/>
  <c r="B28" i="2"/>
  <c r="A28" i="2"/>
  <c r="K27" i="2"/>
  <c r="L27" i="2" s="1"/>
  <c r="J27" i="2"/>
  <c r="I27" i="2"/>
  <c r="H27" i="2"/>
  <c r="F27" i="2"/>
  <c r="E27" i="2"/>
  <c r="D27" i="2"/>
  <c r="C27" i="2"/>
  <c r="B27" i="2"/>
  <c r="G27" i="2" s="1"/>
  <c r="A27" i="2"/>
  <c r="K26" i="2"/>
  <c r="J26" i="2"/>
  <c r="I26" i="2"/>
  <c r="H26" i="2"/>
  <c r="L26" i="2" s="1"/>
  <c r="E26" i="2"/>
  <c r="D26" i="2"/>
  <c r="C26" i="2"/>
  <c r="B26" i="2"/>
  <c r="A26" i="2"/>
  <c r="K25" i="2"/>
  <c r="J25" i="2"/>
  <c r="I25" i="2"/>
  <c r="H25" i="2"/>
  <c r="L25" i="2" s="1"/>
  <c r="E25" i="2"/>
  <c r="F25" i="2" s="1"/>
  <c r="G25" i="2" s="1"/>
  <c r="M25" i="2" s="1"/>
  <c r="D25" i="2"/>
  <c r="C25" i="2"/>
  <c r="B25" i="2"/>
  <c r="A25" i="2"/>
  <c r="K24" i="2"/>
  <c r="J24" i="2"/>
  <c r="I24" i="2"/>
  <c r="H24" i="2"/>
  <c r="L24" i="2" s="1"/>
  <c r="F24" i="2"/>
  <c r="G24" i="2" s="1"/>
  <c r="E24" i="2"/>
  <c r="D24" i="2"/>
  <c r="C24" i="2"/>
  <c r="B24" i="2"/>
  <c r="A24" i="2"/>
  <c r="K23" i="2"/>
  <c r="J23" i="2"/>
  <c r="I23" i="2"/>
  <c r="H23" i="2"/>
  <c r="L23" i="2" s="1"/>
  <c r="E23" i="2"/>
  <c r="D23" i="2"/>
  <c r="C23" i="2"/>
  <c r="F23" i="2" s="1"/>
  <c r="B23" i="2"/>
  <c r="G23" i="2" s="1"/>
  <c r="M23" i="2" s="1"/>
  <c r="A23" i="2"/>
  <c r="K22" i="2"/>
  <c r="L22" i="2" s="1"/>
  <c r="J22" i="2"/>
  <c r="I22" i="2"/>
  <c r="H22" i="2"/>
  <c r="E22" i="2"/>
  <c r="D22" i="2"/>
  <c r="C22" i="2"/>
  <c r="F22" i="2" s="1"/>
  <c r="B22" i="2"/>
  <c r="G22" i="2" s="1"/>
  <c r="M22" i="2" s="1"/>
  <c r="A22" i="2"/>
  <c r="K21" i="2"/>
  <c r="J21" i="2"/>
  <c r="I21" i="2"/>
  <c r="H21" i="2"/>
  <c r="L21" i="2" s="1"/>
  <c r="E21" i="2"/>
  <c r="D21" i="2"/>
  <c r="C21" i="2"/>
  <c r="F21" i="2" s="1"/>
  <c r="G21" i="2" s="1"/>
  <c r="M21" i="2" s="1"/>
  <c r="B21" i="2"/>
  <c r="A21" i="2"/>
  <c r="K20" i="2"/>
  <c r="J20" i="2"/>
  <c r="I20" i="2"/>
  <c r="H20" i="2"/>
  <c r="L20" i="2" s="1"/>
  <c r="F20" i="2"/>
  <c r="G20" i="2" s="1"/>
  <c r="E20" i="2"/>
  <c r="D20" i="2"/>
  <c r="C20" i="2"/>
  <c r="B20" i="2"/>
  <c r="A20" i="2"/>
  <c r="K19" i="2"/>
  <c r="J19" i="2"/>
  <c r="I19" i="2"/>
  <c r="H19" i="2"/>
  <c r="E19" i="2"/>
  <c r="D19" i="2"/>
  <c r="C19" i="2"/>
  <c r="F19" i="2" s="1"/>
  <c r="B19" i="2"/>
  <c r="A19" i="2"/>
  <c r="L18" i="2"/>
  <c r="K18" i="2"/>
  <c r="J18" i="2"/>
  <c r="I18" i="2"/>
  <c r="H18" i="2"/>
  <c r="E18" i="2"/>
  <c r="D18" i="2"/>
  <c r="C18" i="2"/>
  <c r="F18" i="2" s="1"/>
  <c r="B18" i="2"/>
  <c r="A18" i="2"/>
  <c r="L17" i="2"/>
  <c r="K17" i="2"/>
  <c r="J17" i="2"/>
  <c r="I17" i="2"/>
  <c r="H17" i="2"/>
  <c r="E17" i="2"/>
  <c r="F17" i="2" s="1"/>
  <c r="D17" i="2"/>
  <c r="C17" i="2"/>
  <c r="B17" i="2"/>
  <c r="A17" i="2"/>
  <c r="K16" i="2"/>
  <c r="J16" i="2"/>
  <c r="I16" i="2"/>
  <c r="H16" i="2"/>
  <c r="L16" i="2" s="1"/>
  <c r="E16" i="2"/>
  <c r="D16" i="2"/>
  <c r="C16" i="2"/>
  <c r="B16" i="2"/>
  <c r="A16" i="2"/>
  <c r="K15" i="2"/>
  <c r="J15" i="2"/>
  <c r="I15" i="2"/>
  <c r="H15" i="2"/>
  <c r="L15" i="2" s="1"/>
  <c r="G15" i="2"/>
  <c r="M15" i="2" s="1"/>
  <c r="F15" i="2"/>
  <c r="E15" i="2"/>
  <c r="D15" i="2"/>
  <c r="C15" i="2"/>
  <c r="B15" i="2"/>
  <c r="A15" i="2"/>
  <c r="K14" i="2"/>
  <c r="J14" i="2"/>
  <c r="I14" i="2"/>
  <c r="H14" i="2"/>
  <c r="L14" i="2" s="1"/>
  <c r="E14" i="2"/>
  <c r="D14" i="2"/>
  <c r="F14" i="2" s="1"/>
  <c r="G14" i="2" s="1"/>
  <c r="M14" i="2" s="1"/>
  <c r="C14" i="2"/>
  <c r="B14" i="2"/>
  <c r="A14" i="2"/>
  <c r="K13" i="2"/>
  <c r="L13" i="2" s="1"/>
  <c r="M13" i="2" s="1"/>
  <c r="J13" i="2"/>
  <c r="I13" i="2"/>
  <c r="H13" i="2"/>
  <c r="E13" i="2"/>
  <c r="D13" i="2"/>
  <c r="C13" i="2"/>
  <c r="F13" i="2" s="1"/>
  <c r="B13" i="2"/>
  <c r="G13" i="2" s="1"/>
  <c r="A13" i="2"/>
  <c r="L12" i="2"/>
  <c r="K12" i="2"/>
  <c r="J12" i="2"/>
  <c r="I12" i="2"/>
  <c r="H12" i="2"/>
  <c r="E12" i="2"/>
  <c r="D12" i="2"/>
  <c r="C12" i="2"/>
  <c r="F12" i="2" s="1"/>
  <c r="B12" i="2"/>
  <c r="A12" i="2"/>
  <c r="K11" i="2"/>
  <c r="J11" i="2"/>
  <c r="I11" i="2"/>
  <c r="H11" i="2"/>
  <c r="L11" i="2" s="1"/>
  <c r="E11" i="2"/>
  <c r="F11" i="2" s="1"/>
  <c r="G11" i="2" s="1"/>
  <c r="M11" i="2" s="1"/>
  <c r="D11" i="2"/>
  <c r="C11" i="2"/>
  <c r="B11" i="2"/>
  <c r="A11" i="2"/>
  <c r="K10" i="2"/>
  <c r="J10" i="2"/>
  <c r="I10" i="2"/>
  <c r="H10" i="2"/>
  <c r="L10" i="2" s="1"/>
  <c r="E10" i="2"/>
  <c r="D10" i="2"/>
  <c r="C10" i="2"/>
  <c r="F10" i="2" s="1"/>
  <c r="G10" i="2" s="1"/>
  <c r="B10" i="2"/>
  <c r="A10" i="2"/>
  <c r="K9" i="2"/>
  <c r="L9" i="2" s="1"/>
  <c r="M9" i="2" s="1"/>
  <c r="J9" i="2"/>
  <c r="I9" i="2"/>
  <c r="H9" i="2"/>
  <c r="E9" i="2"/>
  <c r="D9" i="2"/>
  <c r="C9" i="2"/>
  <c r="F9" i="2" s="1"/>
  <c r="B9" i="2"/>
  <c r="G9" i="2" s="1"/>
  <c r="A9" i="2"/>
  <c r="L8" i="2"/>
  <c r="K8" i="2"/>
  <c r="J8" i="2"/>
  <c r="I8" i="2"/>
  <c r="H8" i="2"/>
  <c r="E8" i="2"/>
  <c r="D8" i="2"/>
  <c r="C8" i="2"/>
  <c r="F8" i="2" s="1"/>
  <c r="B8" i="2"/>
  <c r="A8" i="2"/>
  <c r="K7" i="2"/>
  <c r="J7" i="2"/>
  <c r="I7" i="2"/>
  <c r="H7" i="2"/>
  <c r="L7" i="2" s="1"/>
  <c r="E7" i="2"/>
  <c r="F7" i="2" s="1"/>
  <c r="G7" i="2" s="1"/>
  <c r="M7" i="2" s="1"/>
  <c r="D7" i="2"/>
  <c r="C7" i="2"/>
  <c r="B7" i="2"/>
  <c r="A7" i="2"/>
  <c r="K6" i="2"/>
  <c r="J6" i="2"/>
  <c r="I6" i="2"/>
  <c r="H6" i="2"/>
  <c r="L6" i="2" s="1"/>
  <c r="E6" i="2"/>
  <c r="D6" i="2"/>
  <c r="C6" i="2"/>
  <c r="B6" i="2"/>
  <c r="A6" i="2"/>
  <c r="K5" i="2"/>
  <c r="J5" i="2"/>
  <c r="I5" i="2"/>
  <c r="H5" i="2"/>
  <c r="E5" i="2"/>
  <c r="D5" i="2"/>
  <c r="C5" i="2"/>
  <c r="F5" i="2" s="1"/>
  <c r="B5" i="2"/>
  <c r="A5" i="2"/>
  <c r="K4" i="2"/>
  <c r="J4" i="2"/>
  <c r="I4" i="2"/>
  <c r="H4" i="2"/>
  <c r="E4" i="2"/>
  <c r="D4" i="2"/>
  <c r="F4" i="2" s="1"/>
  <c r="G4" i="2" s="1"/>
  <c r="C4" i="2"/>
  <c r="B4" i="2"/>
  <c r="A4" i="2"/>
  <c r="L3" i="2"/>
  <c r="K3" i="2"/>
  <c r="J3" i="2"/>
  <c r="I3" i="2"/>
  <c r="H3" i="2"/>
  <c r="E3" i="2"/>
  <c r="D3" i="2"/>
  <c r="C3" i="2"/>
  <c r="F3" i="2" s="1"/>
  <c r="B3" i="2"/>
  <c r="A3" i="2"/>
  <c r="K2" i="2"/>
  <c r="J2" i="2"/>
  <c r="L2" i="2" s="1"/>
  <c r="I2" i="2"/>
  <c r="H2" i="2"/>
  <c r="F2" i="2"/>
  <c r="G2" i="2" s="1"/>
  <c r="M2" i="2" s="1"/>
  <c r="E2" i="2"/>
  <c r="D2" i="2"/>
  <c r="C2" i="2"/>
  <c r="B2" i="2"/>
  <c r="A2" i="2"/>
  <c r="M183" i="2" l="1"/>
  <c r="G8" i="2"/>
  <c r="M8" i="2" s="1"/>
  <c r="G12" i="2"/>
  <c r="M12" i="2" s="1"/>
  <c r="G17" i="2"/>
  <c r="M17" i="2" s="1"/>
  <c r="G18" i="2"/>
  <c r="M18" i="2" s="1"/>
  <c r="M30" i="2"/>
  <c r="M70" i="2"/>
  <c r="G127" i="2"/>
  <c r="M127" i="2" s="1"/>
  <c r="M132" i="2"/>
  <c r="M431" i="2"/>
  <c r="G3" i="2"/>
  <c r="M3" i="2" s="1"/>
  <c r="G5" i="2"/>
  <c r="M10" i="2"/>
  <c r="M24" i="2"/>
  <c r="G58" i="2"/>
  <c r="M58" i="2" s="1"/>
  <c r="G59" i="2"/>
  <c r="M59" i="2" s="1"/>
  <c r="M60" i="2"/>
  <c r="M65" i="2"/>
  <c r="M83" i="2"/>
  <c r="M88" i="2"/>
  <c r="M92" i="2"/>
  <c r="M51" i="2"/>
  <c r="M144" i="2"/>
  <c r="M194" i="2"/>
  <c r="M208" i="2"/>
  <c r="M233" i="2"/>
  <c r="M374" i="2"/>
  <c r="G26" i="2"/>
  <c r="M26" i="2" s="1"/>
  <c r="M20" i="2"/>
  <c r="G35" i="2"/>
  <c r="M35" i="2" s="1"/>
  <c r="M37" i="2"/>
  <c r="G40" i="2"/>
  <c r="M40" i="2" s="1"/>
  <c r="G50" i="2"/>
  <c r="M50" i="2" s="1"/>
  <c r="G55" i="2"/>
  <c r="M55" i="2" s="1"/>
  <c r="M73" i="2"/>
  <c r="M80" i="2"/>
  <c r="G105" i="2"/>
  <c r="M105" i="2" s="1"/>
  <c r="G122" i="2"/>
  <c r="M122" i="2" s="1"/>
  <c r="M240" i="2"/>
  <c r="M290" i="2"/>
  <c r="M389" i="2"/>
  <c r="M41" i="2"/>
  <c r="M390" i="2"/>
  <c r="M32" i="2"/>
  <c r="L19" i="2"/>
  <c r="M95" i="2"/>
  <c r="G117" i="2"/>
  <c r="M117" i="2" s="1"/>
  <c r="G137" i="2"/>
  <c r="M137" i="2" s="1"/>
  <c r="M77" i="2"/>
  <c r="L5" i="2"/>
  <c r="M27" i="2"/>
  <c r="G28" i="2"/>
  <c r="M28" i="2" s="1"/>
  <c r="L56" i="2"/>
  <c r="G67" i="2"/>
  <c r="M67" i="2" s="1"/>
  <c r="G68" i="2"/>
  <c r="M68" i="2" s="1"/>
  <c r="M154" i="2"/>
  <c r="F16" i="2"/>
  <c r="G16" i="2" s="1"/>
  <c r="M16" i="2" s="1"/>
  <c r="L41" i="2"/>
  <c r="F43" i="2"/>
  <c r="G43" i="2" s="1"/>
  <c r="M43" i="2" s="1"/>
  <c r="F66" i="2"/>
  <c r="L91" i="2"/>
  <c r="M91" i="2" s="1"/>
  <c r="F93" i="2"/>
  <c r="G93" i="2" s="1"/>
  <c r="M93" i="2" s="1"/>
  <c r="F116" i="2"/>
  <c r="L143" i="2"/>
  <c r="M143" i="2" s="1"/>
  <c r="L144" i="2"/>
  <c r="L153" i="2"/>
  <c r="M153" i="2" s="1"/>
  <c r="L154" i="2"/>
  <c r="L163" i="2"/>
  <c r="M163" i="2" s="1"/>
  <c r="L164" i="2"/>
  <c r="M164" i="2" s="1"/>
  <c r="L173" i="2"/>
  <c r="M173" i="2" s="1"/>
  <c r="L174" i="2"/>
  <c r="M174" i="2" s="1"/>
  <c r="L183" i="2"/>
  <c r="L184" i="2"/>
  <c r="M184" i="2" s="1"/>
  <c r="L193" i="2"/>
  <c r="M193" i="2" s="1"/>
  <c r="L194" i="2"/>
  <c r="G207" i="2"/>
  <c r="M207" i="2" s="1"/>
  <c r="M214" i="2"/>
  <c r="L216" i="2"/>
  <c r="G225" i="2"/>
  <c r="M225" i="2" s="1"/>
  <c r="G226" i="2"/>
  <c r="M226" i="2" s="1"/>
  <c r="F228" i="2"/>
  <c r="M229" i="2"/>
  <c r="L240" i="2"/>
  <c r="M244" i="2"/>
  <c r="L246" i="2"/>
  <c r="F255" i="2"/>
  <c r="L273" i="2"/>
  <c r="M273" i="2" s="1"/>
  <c r="F284" i="2"/>
  <c r="G284" i="2" s="1"/>
  <c r="M284" i="2" s="1"/>
  <c r="G297" i="2"/>
  <c r="M297" i="2" s="1"/>
  <c r="L302" i="2"/>
  <c r="M302" i="2" s="1"/>
  <c r="M310" i="2"/>
  <c r="G325" i="2"/>
  <c r="M325" i="2" s="1"/>
  <c r="G326" i="2"/>
  <c r="M326" i="2" s="1"/>
  <c r="F328" i="2"/>
  <c r="M329" i="2"/>
  <c r="G342" i="2"/>
  <c r="M342" i="2" s="1"/>
  <c r="F345" i="2"/>
  <c r="M346" i="2"/>
  <c r="G347" i="2"/>
  <c r="M347" i="2" s="1"/>
  <c r="G350" i="2"/>
  <c r="M350" i="2" s="1"/>
  <c r="G359" i="2"/>
  <c r="M359" i="2" s="1"/>
  <c r="L389" i="2"/>
  <c r="M452" i="2"/>
  <c r="M620" i="2"/>
  <c r="M47" i="2"/>
  <c r="G49" i="2"/>
  <c r="M49" i="2" s="1"/>
  <c r="L64" i="2"/>
  <c r="M64" i="2" s="1"/>
  <c r="G76" i="2"/>
  <c r="M76" i="2" s="1"/>
  <c r="M97" i="2"/>
  <c r="G99" i="2"/>
  <c r="M99" i="2" s="1"/>
  <c r="L114" i="2"/>
  <c r="M114" i="2" s="1"/>
  <c r="F126" i="2"/>
  <c r="G126" i="2" s="1"/>
  <c r="M126" i="2" s="1"/>
  <c r="L213" i="2"/>
  <c r="M213" i="2" s="1"/>
  <c r="L243" i="2"/>
  <c r="M243" i="2" s="1"/>
  <c r="G267" i="2"/>
  <c r="M267" i="2" s="1"/>
  <c r="F298" i="2"/>
  <c r="G298" i="2" s="1"/>
  <c r="M298" i="2" s="1"/>
  <c r="M360" i="2"/>
  <c r="M444" i="2"/>
  <c r="L446" i="2"/>
  <c r="G566" i="2"/>
  <c r="M566" i="2" s="1"/>
  <c r="F26" i="2"/>
  <c r="L51" i="2"/>
  <c r="F53" i="2"/>
  <c r="G53" i="2" s="1"/>
  <c r="M53" i="2" s="1"/>
  <c r="F76" i="2"/>
  <c r="L101" i="2"/>
  <c r="M101" i="2" s="1"/>
  <c r="F103" i="2"/>
  <c r="G103" i="2" s="1"/>
  <c r="M103" i="2" s="1"/>
  <c r="G128" i="2"/>
  <c r="M128" i="2" s="1"/>
  <c r="L130" i="2"/>
  <c r="M130" i="2" s="1"/>
  <c r="F203" i="2"/>
  <c r="G203" i="2" s="1"/>
  <c r="M203" i="2" s="1"/>
  <c r="F205" i="2"/>
  <c r="G205" i="2" s="1"/>
  <c r="M205" i="2" s="1"/>
  <c r="M209" i="2"/>
  <c r="L212" i="2"/>
  <c r="M212" i="2" s="1"/>
  <c r="F224" i="2"/>
  <c r="G224" i="2" s="1"/>
  <c r="M224" i="2" s="1"/>
  <c r="G238" i="2"/>
  <c r="M238" i="2" s="1"/>
  <c r="L242" i="2"/>
  <c r="M242" i="2" s="1"/>
  <c r="G265" i="2"/>
  <c r="M265" i="2" s="1"/>
  <c r="G266" i="2"/>
  <c r="M269" i="2"/>
  <c r="L280" i="2"/>
  <c r="M280" i="2" s="1"/>
  <c r="M283" i="2"/>
  <c r="L286" i="2"/>
  <c r="F295" i="2"/>
  <c r="G295" i="2" s="1"/>
  <c r="M295" i="2" s="1"/>
  <c r="F324" i="2"/>
  <c r="G324" i="2" s="1"/>
  <c r="M324" i="2" s="1"/>
  <c r="F358" i="2"/>
  <c r="G358" i="2" s="1"/>
  <c r="M358" i="2" s="1"/>
  <c r="G363" i="2"/>
  <c r="M363" i="2" s="1"/>
  <c r="G369" i="2"/>
  <c r="M369" i="2" s="1"/>
  <c r="G372" i="2"/>
  <c r="M372" i="2" s="1"/>
  <c r="G388" i="2"/>
  <c r="M388" i="2" s="1"/>
  <c r="G397" i="2"/>
  <c r="M397" i="2" s="1"/>
  <c r="G399" i="2"/>
  <c r="M399" i="2" s="1"/>
  <c r="M437" i="2"/>
  <c r="G333" i="2"/>
  <c r="M333" i="2" s="1"/>
  <c r="M560" i="2"/>
  <c r="G129" i="2"/>
  <c r="M129" i="2" s="1"/>
  <c r="G197" i="2"/>
  <c r="M197" i="2" s="1"/>
  <c r="G277" i="2"/>
  <c r="M277" i="2" s="1"/>
  <c r="G278" i="2"/>
  <c r="M278" i="2" s="1"/>
  <c r="G305" i="2"/>
  <c r="M305" i="2" s="1"/>
  <c r="M309" i="2"/>
  <c r="M410" i="2"/>
  <c r="M416" i="2"/>
  <c r="M417" i="2"/>
  <c r="M422" i="2"/>
  <c r="G554" i="2"/>
  <c r="M554" i="2" s="1"/>
  <c r="M599" i="2"/>
  <c r="G415" i="2"/>
  <c r="M415" i="2" s="1"/>
  <c r="G19" i="2"/>
  <c r="L34" i="2"/>
  <c r="M34" i="2" s="1"/>
  <c r="G46" i="2"/>
  <c r="M46" i="2" s="1"/>
  <c r="G69" i="2"/>
  <c r="M69" i="2" s="1"/>
  <c r="L84" i="2"/>
  <c r="M84" i="2" s="1"/>
  <c r="G96" i="2"/>
  <c r="M96" i="2" s="1"/>
  <c r="G119" i="2"/>
  <c r="M119" i="2" s="1"/>
  <c r="F136" i="2"/>
  <c r="G136" i="2" s="1"/>
  <c r="M136" i="2" s="1"/>
  <c r="F142" i="2"/>
  <c r="G142" i="2" s="1"/>
  <c r="M142" i="2" s="1"/>
  <c r="G145" i="2"/>
  <c r="M145" i="2" s="1"/>
  <c r="G146" i="2"/>
  <c r="M146" i="2" s="1"/>
  <c r="G147" i="2"/>
  <c r="M147" i="2" s="1"/>
  <c r="F152" i="2"/>
  <c r="G152" i="2" s="1"/>
  <c r="M152" i="2" s="1"/>
  <c r="G155" i="2"/>
  <c r="M155" i="2" s="1"/>
  <c r="G156" i="2"/>
  <c r="M156" i="2" s="1"/>
  <c r="G157" i="2"/>
  <c r="M157" i="2" s="1"/>
  <c r="F162" i="2"/>
  <c r="G162" i="2" s="1"/>
  <c r="M162" i="2" s="1"/>
  <c r="G165" i="2"/>
  <c r="M165" i="2" s="1"/>
  <c r="G166" i="2"/>
  <c r="M166" i="2" s="1"/>
  <c r="G167" i="2"/>
  <c r="M167" i="2" s="1"/>
  <c r="F172" i="2"/>
  <c r="G172" i="2" s="1"/>
  <c r="M172" i="2" s="1"/>
  <c r="G175" i="2"/>
  <c r="M175" i="2" s="1"/>
  <c r="G176" i="2"/>
  <c r="M176" i="2" s="1"/>
  <c r="G177" i="2"/>
  <c r="M177" i="2" s="1"/>
  <c r="F182" i="2"/>
  <c r="G182" i="2" s="1"/>
  <c r="M182" i="2" s="1"/>
  <c r="G185" i="2"/>
  <c r="M185" i="2" s="1"/>
  <c r="G186" i="2"/>
  <c r="M186" i="2" s="1"/>
  <c r="G187" i="2"/>
  <c r="M187" i="2" s="1"/>
  <c r="F192" i="2"/>
  <c r="G192" i="2" s="1"/>
  <c r="M192" i="2" s="1"/>
  <c r="G195" i="2"/>
  <c r="M195" i="2" s="1"/>
  <c r="G196" i="2"/>
  <c r="G198" i="2"/>
  <c r="M198" i="2" s="1"/>
  <c r="L206" i="2"/>
  <c r="M206" i="2" s="1"/>
  <c r="G217" i="2"/>
  <c r="M217" i="2" s="1"/>
  <c r="L223" i="2"/>
  <c r="M223" i="2" s="1"/>
  <c r="F234" i="2"/>
  <c r="G234" i="2" s="1"/>
  <c r="M234" i="2" s="1"/>
  <c r="G247" i="2"/>
  <c r="M247" i="2" s="1"/>
  <c r="G248" i="2"/>
  <c r="M248" i="2" s="1"/>
  <c r="L252" i="2"/>
  <c r="M252" i="2" s="1"/>
  <c r="G275" i="2"/>
  <c r="M275" i="2" s="1"/>
  <c r="F278" i="2"/>
  <c r="M279" i="2"/>
  <c r="L290" i="2"/>
  <c r="L296" i="2"/>
  <c r="M296" i="2" s="1"/>
  <c r="F305" i="2"/>
  <c r="M450" i="2"/>
  <c r="G109" i="2"/>
  <c r="M109" i="2" s="1"/>
  <c r="M562" i="2"/>
  <c r="L121" i="2"/>
  <c r="M121" i="2" s="1"/>
  <c r="F123" i="2"/>
  <c r="G123" i="2" s="1"/>
  <c r="M123" i="2" s="1"/>
  <c r="G138" i="2"/>
  <c r="M138" i="2" s="1"/>
  <c r="G148" i="2"/>
  <c r="M148" i="2" s="1"/>
  <c r="G158" i="2"/>
  <c r="M158" i="2" s="1"/>
  <c r="G168" i="2"/>
  <c r="M168" i="2" s="1"/>
  <c r="G178" i="2"/>
  <c r="M178" i="2" s="1"/>
  <c r="G188" i="2"/>
  <c r="M188" i="2" s="1"/>
  <c r="G199" i="2"/>
  <c r="M199" i="2" s="1"/>
  <c r="G215" i="2"/>
  <c r="M215" i="2" s="1"/>
  <c r="G216" i="2"/>
  <c r="M216" i="2" s="1"/>
  <c r="G218" i="2"/>
  <c r="M218" i="2" s="1"/>
  <c r="M245" i="2"/>
  <c r="M246" i="2"/>
  <c r="M249" i="2"/>
  <c r="L260" i="2"/>
  <c r="M260" i="2" s="1"/>
  <c r="L266" i="2"/>
  <c r="F275" i="2"/>
  <c r="F304" i="2"/>
  <c r="G304" i="2" s="1"/>
  <c r="M304" i="2" s="1"/>
  <c r="G317" i="2"/>
  <c r="M317" i="2" s="1"/>
  <c r="M447" i="2"/>
  <c r="M479" i="2"/>
  <c r="M502" i="2"/>
  <c r="L94" i="2"/>
  <c r="M94" i="2" s="1"/>
  <c r="L133" i="2"/>
  <c r="M133" i="2" s="1"/>
  <c r="M219" i="2"/>
  <c r="L236" i="2"/>
  <c r="M236" i="2" s="1"/>
  <c r="G287" i="2"/>
  <c r="M287" i="2" s="1"/>
  <c r="M315" i="2"/>
  <c r="M316" i="2"/>
  <c r="M319" i="2"/>
  <c r="L333" i="2"/>
  <c r="L365" i="2"/>
  <c r="M365" i="2" s="1"/>
  <c r="L383" i="2"/>
  <c r="M394" i="2"/>
  <c r="M404" i="2"/>
  <c r="M462" i="2"/>
  <c r="G477" i="2"/>
  <c r="M477" i="2" s="1"/>
  <c r="G79" i="2"/>
  <c r="M79" i="2" s="1"/>
  <c r="G106" i="2"/>
  <c r="M106" i="2" s="1"/>
  <c r="F6" i="2"/>
  <c r="L31" i="2"/>
  <c r="M31" i="2" s="1"/>
  <c r="F56" i="2"/>
  <c r="G56" i="2" s="1"/>
  <c r="M56" i="2" s="1"/>
  <c r="L81" i="2"/>
  <c r="M81" i="2" s="1"/>
  <c r="F106" i="2"/>
  <c r="L134" i="2"/>
  <c r="M134" i="2" s="1"/>
  <c r="G139" i="2"/>
  <c r="M139" i="2" s="1"/>
  <c r="L141" i="2"/>
  <c r="M141" i="2" s="1"/>
  <c r="G149" i="2"/>
  <c r="M149" i="2" s="1"/>
  <c r="L151" i="2"/>
  <c r="M151" i="2" s="1"/>
  <c r="G159" i="2"/>
  <c r="M159" i="2" s="1"/>
  <c r="L161" i="2"/>
  <c r="M161" i="2" s="1"/>
  <c r="G169" i="2"/>
  <c r="M169" i="2" s="1"/>
  <c r="L171" i="2"/>
  <c r="M171" i="2" s="1"/>
  <c r="G179" i="2"/>
  <c r="M179" i="2" s="1"/>
  <c r="L181" i="2"/>
  <c r="M181" i="2" s="1"/>
  <c r="G189" i="2"/>
  <c r="M189" i="2" s="1"/>
  <c r="L191" i="2"/>
  <c r="M191" i="2" s="1"/>
  <c r="L233" i="2"/>
  <c r="G257" i="2"/>
  <c r="M257" i="2" s="1"/>
  <c r="G258" i="2"/>
  <c r="M258" i="2" s="1"/>
  <c r="M286" i="2"/>
  <c r="F288" i="2"/>
  <c r="G288" i="2" s="1"/>
  <c r="M288" i="2" s="1"/>
  <c r="M289" i="2"/>
  <c r="L306" i="2"/>
  <c r="M306" i="2" s="1"/>
  <c r="L374" i="2"/>
  <c r="L395" i="2"/>
  <c r="M454" i="2"/>
  <c r="M658" i="2"/>
  <c r="G6" i="2"/>
  <c r="M6" i="2" s="1"/>
  <c r="G29" i="2"/>
  <c r="M29" i="2" s="1"/>
  <c r="L44" i="2"/>
  <c r="M44" i="2" s="1"/>
  <c r="L4" i="2"/>
  <c r="M4" i="2" s="1"/>
  <c r="G39" i="2"/>
  <c r="M39" i="2" s="1"/>
  <c r="L54" i="2"/>
  <c r="M54" i="2" s="1"/>
  <c r="G66" i="2"/>
  <c r="M66" i="2" s="1"/>
  <c r="G89" i="2"/>
  <c r="M89" i="2" s="1"/>
  <c r="L104" i="2"/>
  <c r="M104" i="2" s="1"/>
  <c r="G116" i="2"/>
  <c r="M116" i="2" s="1"/>
  <c r="F125" i="2"/>
  <c r="G125" i="2" s="1"/>
  <c r="M125" i="2" s="1"/>
  <c r="L196" i="2"/>
  <c r="L210" i="2"/>
  <c r="M210" i="2" s="1"/>
  <c r="G227" i="2"/>
  <c r="M227" i="2" s="1"/>
  <c r="G228" i="2"/>
  <c r="M228" i="2" s="1"/>
  <c r="L232" i="2"/>
  <c r="M232" i="2" s="1"/>
  <c r="G255" i="2"/>
  <c r="M255" i="2" s="1"/>
  <c r="G256" i="2"/>
  <c r="M256" i="2" s="1"/>
  <c r="F258" i="2"/>
  <c r="M259" i="2"/>
  <c r="L270" i="2"/>
  <c r="M270" i="2" s="1"/>
  <c r="L276" i="2"/>
  <c r="M276" i="2" s="1"/>
  <c r="F285" i="2"/>
  <c r="G285" i="2" s="1"/>
  <c r="M285" i="2" s="1"/>
  <c r="L303" i="2"/>
  <c r="M303" i="2" s="1"/>
  <c r="F314" i="2"/>
  <c r="G314" i="2" s="1"/>
  <c r="M314" i="2" s="1"/>
  <c r="G327" i="2"/>
  <c r="M327" i="2" s="1"/>
  <c r="G328" i="2"/>
  <c r="M328" i="2" s="1"/>
  <c r="L332" i="2"/>
  <c r="M332" i="2" s="1"/>
  <c r="G345" i="2"/>
  <c r="M345" i="2" s="1"/>
  <c r="L373" i="2"/>
  <c r="M373" i="2" s="1"/>
  <c r="L379" i="2"/>
  <c r="L382" i="2"/>
  <c r="M382" i="2" s="1"/>
  <c r="L390" i="2"/>
  <c r="L394" i="2"/>
  <c r="L408" i="2"/>
  <c r="L418" i="2"/>
  <c r="F438" i="2"/>
  <c r="G438" i="2" s="1"/>
  <c r="M438" i="2" s="1"/>
  <c r="G442" i="2"/>
  <c r="M442" i="2" s="1"/>
  <c r="L458" i="2"/>
  <c r="G426" i="2"/>
  <c r="M426" i="2" s="1"/>
  <c r="G449" i="2"/>
  <c r="M449" i="2" s="1"/>
  <c r="L481" i="2"/>
  <c r="M481" i="2" s="1"/>
  <c r="F485" i="2"/>
  <c r="G485" i="2" s="1"/>
  <c r="M485" i="2" s="1"/>
  <c r="M486" i="2"/>
  <c r="L490" i="2"/>
  <c r="M490" i="2" s="1"/>
  <c r="M496" i="2"/>
  <c r="G535" i="2"/>
  <c r="M535" i="2" s="1"/>
  <c r="F554" i="2"/>
  <c r="F566" i="2"/>
  <c r="L605" i="2"/>
  <c r="M606" i="2"/>
  <c r="M618" i="2"/>
  <c r="F336" i="2"/>
  <c r="G336" i="2" s="1"/>
  <c r="M336" i="2" s="1"/>
  <c r="L361" i="2"/>
  <c r="M361" i="2" s="1"/>
  <c r="F363" i="2"/>
  <c r="L384" i="2"/>
  <c r="M384" i="2" s="1"/>
  <c r="L401" i="2"/>
  <c r="M401" i="2" s="1"/>
  <c r="F403" i="2"/>
  <c r="G403" i="2" s="1"/>
  <c r="M403" i="2" s="1"/>
  <c r="F415" i="2"/>
  <c r="L423" i="2"/>
  <c r="M423" i="2" s="1"/>
  <c r="F426" i="2"/>
  <c r="L434" i="2"/>
  <c r="M434" i="2" s="1"/>
  <c r="L451" i="2"/>
  <c r="M451" i="2" s="1"/>
  <c r="F453" i="2"/>
  <c r="G453" i="2" s="1"/>
  <c r="F465" i="2"/>
  <c r="G465" i="2" s="1"/>
  <c r="M465" i="2" s="1"/>
  <c r="G488" i="2"/>
  <c r="M488" i="2" s="1"/>
  <c r="F498" i="2"/>
  <c r="G498" i="2" s="1"/>
  <c r="M498" i="2" s="1"/>
  <c r="G499" i="2"/>
  <c r="M499" i="2" s="1"/>
  <c r="L518" i="2"/>
  <c r="F531" i="2"/>
  <c r="G531" i="2" s="1"/>
  <c r="M531" i="2" s="1"/>
  <c r="G539" i="2"/>
  <c r="M539" i="2" s="1"/>
  <c r="G570" i="2"/>
  <c r="M570" i="2" s="1"/>
  <c r="L600" i="2"/>
  <c r="L606" i="2"/>
  <c r="M610" i="2"/>
  <c r="L637" i="2"/>
  <c r="G653" i="2"/>
  <c r="M653" i="2" s="1"/>
  <c r="M540" i="2"/>
  <c r="M564" i="2"/>
  <c r="M568" i="2"/>
  <c r="G626" i="2"/>
  <c r="M626" i="2" s="1"/>
  <c r="M1047" i="2"/>
  <c r="L463" i="2"/>
  <c r="M463" i="2" s="1"/>
  <c r="L483" i="2"/>
  <c r="M483" i="2" s="1"/>
  <c r="G543" i="2"/>
  <c r="M543" i="2" s="1"/>
  <c r="L549" i="2"/>
  <c r="M549" i="2" s="1"/>
  <c r="L552" i="2"/>
  <c r="M552" i="2" s="1"/>
  <c r="L560" i="2"/>
  <c r="L564" i="2"/>
  <c r="G578" i="2"/>
  <c r="M578" i="2" s="1"/>
  <c r="L615" i="2"/>
  <c r="M615" i="2" s="1"/>
  <c r="F621" i="2"/>
  <c r="G621" i="2" s="1"/>
  <c r="M621" i="2" s="1"/>
  <c r="G623" i="2"/>
  <c r="M623" i="2" s="1"/>
  <c r="F626" i="2"/>
  <c r="G627" i="2"/>
  <c r="M627" i="2" s="1"/>
  <c r="G651" i="2"/>
  <c r="M651" i="2" s="1"/>
  <c r="G657" i="2"/>
  <c r="M657" i="2" s="1"/>
  <c r="F670" i="2"/>
  <c r="G670" i="2" s="1"/>
  <c r="M721" i="2"/>
  <c r="G736" i="2"/>
  <c r="M736" i="2" s="1"/>
  <c r="L344" i="2"/>
  <c r="M344" i="2" s="1"/>
  <c r="G379" i="2"/>
  <c r="M379" i="2" s="1"/>
  <c r="G418" i="2"/>
  <c r="G429" i="2"/>
  <c r="M429" i="2" s="1"/>
  <c r="G468" i="2"/>
  <c r="M468" i="2" s="1"/>
  <c r="L470" i="2"/>
  <c r="M470" i="2" s="1"/>
  <c r="L496" i="2"/>
  <c r="M503" i="2"/>
  <c r="M513" i="2"/>
  <c r="L529" i="2"/>
  <c r="M529" i="2" s="1"/>
  <c r="G581" i="2"/>
  <c r="M581" i="2" s="1"/>
  <c r="G585" i="2"/>
  <c r="M585" i="2" s="1"/>
  <c r="G603" i="2"/>
  <c r="M603" i="2" s="1"/>
  <c r="M648" i="2"/>
  <c r="F333" i="2"/>
  <c r="F356" i="2"/>
  <c r="G356" i="2" s="1"/>
  <c r="M356" i="2" s="1"/>
  <c r="L381" i="2"/>
  <c r="M381" i="2" s="1"/>
  <c r="F383" i="2"/>
  <c r="G383" i="2" s="1"/>
  <c r="F395" i="2"/>
  <c r="G395" i="2" s="1"/>
  <c r="M395" i="2" s="1"/>
  <c r="L403" i="2"/>
  <c r="F406" i="2"/>
  <c r="G406" i="2" s="1"/>
  <c r="M406" i="2" s="1"/>
  <c r="L431" i="2"/>
  <c r="F433" i="2"/>
  <c r="G433" i="2" s="1"/>
  <c r="M433" i="2" s="1"/>
  <c r="F445" i="2"/>
  <c r="G445" i="2" s="1"/>
  <c r="M445" i="2" s="1"/>
  <c r="L453" i="2"/>
  <c r="F456" i="2"/>
  <c r="G456" i="2" s="1"/>
  <c r="M456" i="2" s="1"/>
  <c r="F473" i="2"/>
  <c r="G473" i="2" s="1"/>
  <c r="M473" i="2" s="1"/>
  <c r="G475" i="2"/>
  <c r="M475" i="2" s="1"/>
  <c r="M510" i="2"/>
  <c r="F512" i="2"/>
  <c r="G512" i="2" s="1"/>
  <c r="G516" i="2"/>
  <c r="M516" i="2" s="1"/>
  <c r="L537" i="2"/>
  <c r="L568" i="2"/>
  <c r="F581" i="2"/>
  <c r="G591" i="2"/>
  <c r="M591" i="2" s="1"/>
  <c r="M595" i="2"/>
  <c r="G600" i="2"/>
  <c r="M600" i="2" s="1"/>
  <c r="F603" i="2"/>
  <c r="M619" i="2"/>
  <c r="F630" i="2"/>
  <c r="G630" i="2" s="1"/>
  <c r="M630" i="2" s="1"/>
  <c r="G636" i="2"/>
  <c r="M636" i="2" s="1"/>
  <c r="G647" i="2"/>
  <c r="G686" i="2"/>
  <c r="M686" i="2" s="1"/>
  <c r="M828" i="2"/>
  <c r="G339" i="2"/>
  <c r="M339" i="2" s="1"/>
  <c r="L354" i="2"/>
  <c r="M354" i="2" s="1"/>
  <c r="G408" i="2"/>
  <c r="M408" i="2" s="1"/>
  <c r="G419" i="2"/>
  <c r="M419" i="2" s="1"/>
  <c r="G458" i="2"/>
  <c r="G469" i="2"/>
  <c r="M469" i="2" s="1"/>
  <c r="L571" i="2"/>
  <c r="M571" i="2" s="1"/>
  <c r="M583" i="2"/>
  <c r="M589" i="2"/>
  <c r="M594" i="2"/>
  <c r="M596" i="2"/>
  <c r="G605" i="2"/>
  <c r="M643" i="2"/>
  <c r="G685" i="2"/>
  <c r="M685" i="2" s="1"/>
  <c r="M793" i="2"/>
  <c r="L341" i="2"/>
  <c r="M341" i="2" s="1"/>
  <c r="F366" i="2"/>
  <c r="G366" i="2" s="1"/>
  <c r="M366" i="2" s="1"/>
  <c r="F385" i="2"/>
  <c r="G385" i="2" s="1"/>
  <c r="M385" i="2" s="1"/>
  <c r="L393" i="2"/>
  <c r="M393" i="2" s="1"/>
  <c r="F396" i="2"/>
  <c r="G396" i="2" s="1"/>
  <c r="M396" i="2" s="1"/>
  <c r="L404" i="2"/>
  <c r="L421" i="2"/>
  <c r="M421" i="2" s="1"/>
  <c r="F435" i="2"/>
  <c r="G435" i="2" s="1"/>
  <c r="M435" i="2" s="1"/>
  <c r="L443" i="2"/>
  <c r="M443" i="2" s="1"/>
  <c r="F446" i="2"/>
  <c r="G446" i="2" s="1"/>
  <c r="M446" i="2" s="1"/>
  <c r="L454" i="2"/>
  <c r="F476" i="2"/>
  <c r="G476" i="2" s="1"/>
  <c r="M476" i="2" s="1"/>
  <c r="L503" i="2"/>
  <c r="M548" i="2"/>
  <c r="L575" i="2"/>
  <c r="M575" i="2" s="1"/>
  <c r="M576" i="2"/>
  <c r="M622" i="2"/>
  <c r="L623" i="2"/>
  <c r="M731" i="2"/>
  <c r="G349" i="2"/>
  <c r="M349" i="2" s="1"/>
  <c r="L364" i="2"/>
  <c r="M364" i="2" s="1"/>
  <c r="G376" i="2"/>
  <c r="M376" i="2" s="1"/>
  <c r="G386" i="2"/>
  <c r="M386" i="2" s="1"/>
  <c r="G398" i="2"/>
  <c r="M398" i="2" s="1"/>
  <c r="G409" i="2"/>
  <c r="M409" i="2" s="1"/>
  <c r="G436" i="2"/>
  <c r="M436" i="2" s="1"/>
  <c r="G448" i="2"/>
  <c r="M448" i="2" s="1"/>
  <c r="G459" i="2"/>
  <c r="M459" i="2" s="1"/>
  <c r="G478" i="2"/>
  <c r="M478" i="2" s="1"/>
  <c r="L480" i="2"/>
  <c r="M480" i="2" s="1"/>
  <c r="F492" i="2"/>
  <c r="G492" i="2" s="1"/>
  <c r="M492" i="2" s="1"/>
  <c r="L506" i="2"/>
  <c r="M506" i="2" s="1"/>
  <c r="L507" i="2"/>
  <c r="M514" i="2"/>
  <c r="M518" i="2"/>
  <c r="F520" i="2"/>
  <c r="G520" i="2" s="1"/>
  <c r="M520" i="2" s="1"/>
  <c r="G521" i="2"/>
  <c r="M521" i="2" s="1"/>
  <c r="G524" i="2"/>
  <c r="M524" i="2" s="1"/>
  <c r="L541" i="2"/>
  <c r="M541" i="2" s="1"/>
  <c r="G551" i="2"/>
  <c r="M551" i="2" s="1"/>
  <c r="G555" i="2"/>
  <c r="M555" i="2" s="1"/>
  <c r="G556" i="2"/>
  <c r="M556" i="2" s="1"/>
  <c r="G563" i="2"/>
  <c r="M563" i="2" s="1"/>
  <c r="L576" i="2"/>
  <c r="L579" i="2"/>
  <c r="M579" i="2" s="1"/>
  <c r="M609" i="2"/>
  <c r="L628" i="2"/>
  <c r="M628" i="2" s="1"/>
  <c r="M632" i="2"/>
  <c r="F640" i="2"/>
  <c r="G640" i="2" s="1"/>
  <c r="M640" i="2" s="1"/>
  <c r="L648" i="2"/>
  <c r="M727" i="2"/>
  <c r="L609" i="2"/>
  <c r="F611" i="2"/>
  <c r="G611" i="2" s="1"/>
  <c r="M611" i="2" s="1"/>
  <c r="F634" i="2"/>
  <c r="F639" i="2"/>
  <c r="G639" i="2" s="1"/>
  <c r="M639" i="2" s="1"/>
  <c r="L659" i="2"/>
  <c r="M659" i="2" s="1"/>
  <c r="G664" i="2"/>
  <c r="M664" i="2" s="1"/>
  <c r="F669" i="2"/>
  <c r="G669" i="2" s="1"/>
  <c r="M669" i="2" s="1"/>
  <c r="L687" i="2"/>
  <c r="M688" i="2"/>
  <c r="M691" i="2"/>
  <c r="F702" i="2"/>
  <c r="G702" i="2" s="1"/>
  <c r="M702" i="2" s="1"/>
  <c r="L737" i="2"/>
  <c r="M741" i="2"/>
  <c r="M745" i="2"/>
  <c r="L749" i="2"/>
  <c r="M775" i="2"/>
  <c r="L792" i="2"/>
  <c r="L796" i="2"/>
  <c r="L810" i="2"/>
  <c r="L844" i="2"/>
  <c r="M845" i="2"/>
  <c r="L857" i="2"/>
  <c r="G879" i="2"/>
  <c r="M879" i="2" s="1"/>
  <c r="M917" i="2"/>
  <c r="G1103" i="2"/>
  <c r="M1103" i="2" s="1"/>
  <c r="L675" i="2"/>
  <c r="G683" i="2"/>
  <c r="M683" i="2" s="1"/>
  <c r="M724" i="2"/>
  <c r="G725" i="2"/>
  <c r="M725" i="2" s="1"/>
  <c r="G726" i="2"/>
  <c r="M726" i="2" s="1"/>
  <c r="L730" i="2"/>
  <c r="M730" i="2" s="1"/>
  <c r="L738" i="2"/>
  <c r="M738" i="2" s="1"/>
  <c r="L745" i="2"/>
  <c r="L755" i="2"/>
  <c r="G999" i="2"/>
  <c r="M999" i="2" s="1"/>
  <c r="L649" i="2"/>
  <c r="G684" i="2"/>
  <c r="M684" i="2" s="1"/>
  <c r="L697" i="2"/>
  <c r="M697" i="2" s="1"/>
  <c r="M701" i="2"/>
  <c r="F712" i="2"/>
  <c r="G712" i="2" s="1"/>
  <c r="M712" i="2" s="1"/>
  <c r="G761" i="2"/>
  <c r="M761" i="2" s="1"/>
  <c r="G765" i="2"/>
  <c r="M765" i="2" s="1"/>
  <c r="G768" i="2"/>
  <c r="M768" i="2" s="1"/>
  <c r="G791" i="2"/>
  <c r="M791" i="2" s="1"/>
  <c r="G795" i="2"/>
  <c r="M795" i="2" s="1"/>
  <c r="G856" i="2"/>
  <c r="M856" i="2" s="1"/>
  <c r="F878" i="2"/>
  <c r="G878" i="2" s="1"/>
  <c r="F900" i="2"/>
  <c r="G900" i="2" s="1"/>
  <c r="M900" i="2" s="1"/>
  <c r="M901" i="2"/>
  <c r="L1081" i="2"/>
  <c r="G674" i="2"/>
  <c r="M674" i="2" s="1"/>
  <c r="M682" i="2"/>
  <c r="M751" i="2"/>
  <c r="M752" i="2"/>
  <c r="M756" i="2"/>
  <c r="M770" i="2"/>
  <c r="M773" i="2"/>
  <c r="G778" i="2"/>
  <c r="M778" i="2" s="1"/>
  <c r="M788" i="2"/>
  <c r="M796" i="2"/>
  <c r="G801" i="2"/>
  <c r="M801" i="2" s="1"/>
  <c r="M812" i="2"/>
  <c r="G537" i="2"/>
  <c r="L542" i="2"/>
  <c r="M542" i="2" s="1"/>
  <c r="F544" i="2"/>
  <c r="G544" i="2" s="1"/>
  <c r="M544" i="2" s="1"/>
  <c r="G587" i="2"/>
  <c r="M587" i="2" s="1"/>
  <c r="L602" i="2"/>
  <c r="M602" i="2" s="1"/>
  <c r="G614" i="2"/>
  <c r="M614" i="2" s="1"/>
  <c r="G637" i="2"/>
  <c r="M637" i="2" s="1"/>
  <c r="G654" i="2"/>
  <c r="M654" i="2" s="1"/>
  <c r="G667" i="2"/>
  <c r="M667" i="2" s="1"/>
  <c r="F672" i="2"/>
  <c r="G672" i="2" s="1"/>
  <c r="M672" i="2" s="1"/>
  <c r="F674" i="2"/>
  <c r="M675" i="2"/>
  <c r="L679" i="2"/>
  <c r="M679" i="2" s="1"/>
  <c r="G687" i="2"/>
  <c r="M687" i="2" s="1"/>
  <c r="M693" i="2"/>
  <c r="G694" i="2"/>
  <c r="M694" i="2" s="1"/>
  <c r="M695" i="2"/>
  <c r="G696" i="2"/>
  <c r="M696" i="2" s="1"/>
  <c r="L700" i="2"/>
  <c r="M700" i="2" s="1"/>
  <c r="F729" i="2"/>
  <c r="G729" i="2" s="1"/>
  <c r="M729" i="2" s="1"/>
  <c r="G737" i="2"/>
  <c r="M737" i="2" s="1"/>
  <c r="M743" i="2"/>
  <c r="M747" i="2"/>
  <c r="G748" i="2"/>
  <c r="M748" i="2" s="1"/>
  <c r="G755" i="2"/>
  <c r="M764" i="2"/>
  <c r="F778" i="2"/>
  <c r="F794" i="2"/>
  <c r="G794" i="2" s="1"/>
  <c r="M794" i="2" s="1"/>
  <c r="F799" i="2"/>
  <c r="F801" i="2"/>
  <c r="F804" i="2"/>
  <c r="G804" i="2" s="1"/>
  <c r="M804" i="2" s="1"/>
  <c r="G806" i="2"/>
  <c r="M806" i="2" s="1"/>
  <c r="M824" i="2"/>
  <c r="M871" i="2"/>
  <c r="M877" i="2"/>
  <c r="M938" i="2"/>
  <c r="M964" i="2"/>
  <c r="L589" i="2"/>
  <c r="F591" i="2"/>
  <c r="F614" i="2"/>
  <c r="L682" i="2"/>
  <c r="M814" i="2"/>
  <c r="M961" i="2"/>
  <c r="G507" i="2"/>
  <c r="M507" i="2" s="1"/>
  <c r="L512" i="2"/>
  <c r="G557" i="2"/>
  <c r="M557" i="2" s="1"/>
  <c r="L562" i="2"/>
  <c r="G597" i="2"/>
  <c r="M597" i="2" s="1"/>
  <c r="L612" i="2"/>
  <c r="M612" i="2" s="1"/>
  <c r="G644" i="2"/>
  <c r="M644" i="2" s="1"/>
  <c r="L652" i="2"/>
  <c r="M652" i="2" s="1"/>
  <c r="G703" i="2"/>
  <c r="M703" i="2" s="1"/>
  <c r="M704" i="2"/>
  <c r="G705" i="2"/>
  <c r="M705" i="2" s="1"/>
  <c r="G706" i="2"/>
  <c r="M706" i="2" s="1"/>
  <c r="L721" i="2"/>
  <c r="M740" i="2"/>
  <c r="M746" i="2"/>
  <c r="M776" i="2"/>
  <c r="M785" i="2"/>
  <c r="M807" i="2"/>
  <c r="M934" i="2"/>
  <c r="L599" i="2"/>
  <c r="F601" i="2"/>
  <c r="G601" i="2" s="1"/>
  <c r="M601" i="2" s="1"/>
  <c r="F624" i="2"/>
  <c r="G624" i="2" s="1"/>
  <c r="M624" i="2" s="1"/>
  <c r="F644" i="2"/>
  <c r="F649" i="2"/>
  <c r="G649" i="2" s="1"/>
  <c r="M649" i="2" s="1"/>
  <c r="F661" i="2"/>
  <c r="G661" i="2" s="1"/>
  <c r="M661" i="2" s="1"/>
  <c r="L670" i="2"/>
  <c r="L680" i="2"/>
  <c r="M680" i="2" s="1"/>
  <c r="F692" i="2"/>
  <c r="G692" i="2" s="1"/>
  <c r="M692" i="2" s="1"/>
  <c r="L727" i="2"/>
  <c r="F742" i="2"/>
  <c r="G742" i="2" s="1"/>
  <c r="M742" i="2" s="1"/>
  <c r="M750" i="2"/>
  <c r="M753" i="2"/>
  <c r="L779" i="2"/>
  <c r="M779" i="2" s="1"/>
  <c r="L789" i="2"/>
  <c r="L793" i="2"/>
  <c r="L797" i="2"/>
  <c r="M797" i="2" s="1"/>
  <c r="L799" i="2"/>
  <c r="L809" i="2"/>
  <c r="M809" i="2" s="1"/>
  <c r="M816" i="2"/>
  <c r="M861" i="2"/>
  <c r="G903" i="2"/>
  <c r="M903" i="2" s="1"/>
  <c r="G527" i="2"/>
  <c r="M527" i="2" s="1"/>
  <c r="L532" i="2"/>
  <c r="M532" i="2" s="1"/>
  <c r="F534" i="2"/>
  <c r="G534" i="2" s="1"/>
  <c r="M534" i="2" s="1"/>
  <c r="G577" i="2"/>
  <c r="M577" i="2" s="1"/>
  <c r="L582" i="2"/>
  <c r="M582" i="2" s="1"/>
  <c r="F584" i="2"/>
  <c r="G584" i="2" s="1"/>
  <c r="M584" i="2" s="1"/>
  <c r="G607" i="2"/>
  <c r="M607" i="2" s="1"/>
  <c r="L622" i="2"/>
  <c r="G634" i="2"/>
  <c r="M634" i="2" s="1"/>
  <c r="L642" i="2"/>
  <c r="M642" i="2" s="1"/>
  <c r="L647" i="2"/>
  <c r="F677" i="2"/>
  <c r="G677" i="2" s="1"/>
  <c r="M677" i="2" s="1"/>
  <c r="M690" i="2"/>
  <c r="F699" i="2"/>
  <c r="G699" i="2" s="1"/>
  <c r="M699" i="2" s="1"/>
  <c r="G707" i="2"/>
  <c r="M707" i="2" s="1"/>
  <c r="G713" i="2"/>
  <c r="M713" i="2" s="1"/>
  <c r="G714" i="2"/>
  <c r="M714" i="2" s="1"/>
  <c r="G715" i="2"/>
  <c r="M715" i="2" s="1"/>
  <c r="G716" i="2"/>
  <c r="M716" i="2" s="1"/>
  <c r="L720" i="2"/>
  <c r="M720" i="2" s="1"/>
  <c r="L731" i="2"/>
  <c r="L744" i="2"/>
  <c r="M744" i="2" s="1"/>
  <c r="L753" i="2"/>
  <c r="L760" i="2"/>
  <c r="M760" i="2" s="1"/>
  <c r="M771" i="2"/>
  <c r="L774" i="2"/>
  <c r="M774" i="2" s="1"/>
  <c r="L780" i="2"/>
  <c r="M780" i="2" s="1"/>
  <c r="L783" i="2"/>
  <c r="M783" i="2" s="1"/>
  <c r="M810" i="2"/>
  <c r="L858" i="2"/>
  <c r="L862" i="2"/>
  <c r="M862" i="2" s="1"/>
  <c r="L889" i="2"/>
  <c r="M889" i="2" s="1"/>
  <c r="F905" i="2"/>
  <c r="G905" i="2" s="1"/>
  <c r="M905" i="2" s="1"/>
  <c r="M914" i="2"/>
  <c r="M1085" i="2"/>
  <c r="F759" i="2"/>
  <c r="G759" i="2" s="1"/>
  <c r="M759" i="2" s="1"/>
  <c r="L784" i="2"/>
  <c r="M784" i="2" s="1"/>
  <c r="G833" i="2"/>
  <c r="M833" i="2" s="1"/>
  <c r="M834" i="2"/>
  <c r="L848" i="2"/>
  <c r="M848" i="2" s="1"/>
  <c r="L917" i="2"/>
  <c r="M954" i="2"/>
  <c r="L961" i="2"/>
  <c r="L757" i="2"/>
  <c r="M757" i="2" s="1"/>
  <c r="G769" i="2"/>
  <c r="M769" i="2" s="1"/>
  <c r="G792" i="2"/>
  <c r="M792" i="2" s="1"/>
  <c r="L803" i="2"/>
  <c r="M803" i="2" s="1"/>
  <c r="F806" i="2"/>
  <c r="L817" i="2"/>
  <c r="M817" i="2" s="1"/>
  <c r="F821" i="2"/>
  <c r="G821" i="2" s="1"/>
  <c r="G822" i="2"/>
  <c r="M822" i="2" s="1"/>
  <c r="L828" i="2"/>
  <c r="F833" i="2"/>
  <c r="G839" i="2"/>
  <c r="M839" i="2" s="1"/>
  <c r="L850" i="2"/>
  <c r="M857" i="2"/>
  <c r="L864" i="2"/>
  <c r="M864" i="2" s="1"/>
  <c r="L876" i="2"/>
  <c r="G883" i="2"/>
  <c r="M883" i="2" s="1"/>
  <c r="M884" i="2"/>
  <c r="G885" i="2"/>
  <c r="M885" i="2" s="1"/>
  <c r="L898" i="2"/>
  <c r="M898" i="2" s="1"/>
  <c r="F906" i="2"/>
  <c r="G906" i="2" s="1"/>
  <c r="M906" i="2" s="1"/>
  <c r="M907" i="2"/>
  <c r="M922" i="2"/>
  <c r="M927" i="2"/>
  <c r="L940" i="2"/>
  <c r="M940" i="2" s="1"/>
  <c r="L954" i="2"/>
  <c r="G996" i="2"/>
  <c r="M996" i="2" s="1"/>
  <c r="M1004" i="2"/>
  <c r="M1072" i="2"/>
  <c r="M1121" i="2"/>
  <c r="M1001" i="2"/>
  <c r="G802" i="2"/>
  <c r="M802" i="2" s="1"/>
  <c r="M973" i="2"/>
  <c r="G1039" i="2"/>
  <c r="M1039" i="2" s="1"/>
  <c r="G1087" i="2"/>
  <c r="M1087" i="2" s="1"/>
  <c r="G749" i="2"/>
  <c r="M749" i="2" s="1"/>
  <c r="M844" i="2"/>
  <c r="G847" i="2"/>
  <c r="M847" i="2" s="1"/>
  <c r="M912" i="2"/>
  <c r="G762" i="2"/>
  <c r="M762" i="2" s="1"/>
  <c r="L777" i="2"/>
  <c r="M777" i="2" s="1"/>
  <c r="G789" i="2"/>
  <c r="L813" i="2"/>
  <c r="M813" i="2" s="1"/>
  <c r="F826" i="2"/>
  <c r="G826" i="2" s="1"/>
  <c r="M826" i="2" s="1"/>
  <c r="G875" i="2"/>
  <c r="M875" i="2" s="1"/>
  <c r="L881" i="2"/>
  <c r="M881" i="2" s="1"/>
  <c r="G894" i="2"/>
  <c r="M894" i="2" s="1"/>
  <c r="G897" i="2"/>
  <c r="M897" i="2" s="1"/>
  <c r="M963" i="2"/>
  <c r="M967" i="2"/>
  <c r="L1066" i="2"/>
  <c r="M1088" i="2"/>
  <c r="L764" i="2"/>
  <c r="F766" i="2"/>
  <c r="G766" i="2" s="1"/>
  <c r="M766" i="2" s="1"/>
  <c r="F789" i="2"/>
  <c r="L814" i="2"/>
  <c r="G818" i="2"/>
  <c r="M818" i="2" s="1"/>
  <c r="L823" i="2"/>
  <c r="L836" i="2"/>
  <c r="L840" i="2"/>
  <c r="M840" i="2" s="1"/>
  <c r="F873" i="2"/>
  <c r="G873" i="2" s="1"/>
  <c r="M873" i="2" s="1"/>
  <c r="F875" i="2"/>
  <c r="G876" i="2"/>
  <c r="M876" i="2" s="1"/>
  <c r="G924" i="2"/>
  <c r="M924" i="2" s="1"/>
  <c r="G925" i="2"/>
  <c r="M925" i="2" s="1"/>
  <c r="M944" i="2"/>
  <c r="F950" i="2"/>
  <c r="G950" i="2" s="1"/>
  <c r="M950" i="2" s="1"/>
  <c r="F959" i="2"/>
  <c r="F966" i="2"/>
  <c r="M974" i="2"/>
  <c r="M978" i="2"/>
  <c r="M1021" i="2"/>
  <c r="M1063" i="2"/>
  <c r="G772" i="2"/>
  <c r="M772" i="2" s="1"/>
  <c r="L787" i="2"/>
  <c r="M787" i="2" s="1"/>
  <c r="G799" i="2"/>
  <c r="M799" i="2" s="1"/>
  <c r="L807" i="2"/>
  <c r="F811" i="2"/>
  <c r="G811" i="2" s="1"/>
  <c r="M811" i="2" s="1"/>
  <c r="F829" i="2"/>
  <c r="G829" i="2" s="1"/>
  <c r="M829" i="2" s="1"/>
  <c r="L839" i="2"/>
  <c r="F850" i="2"/>
  <c r="G850" i="2" s="1"/>
  <c r="F852" i="2"/>
  <c r="G852" i="2" s="1"/>
  <c r="M852" i="2" s="1"/>
  <c r="M858" i="2"/>
  <c r="F865" i="2"/>
  <c r="G865" i="2" s="1"/>
  <c r="M865" i="2" s="1"/>
  <c r="L886" i="2"/>
  <c r="L890" i="2"/>
  <c r="M890" i="2" s="1"/>
  <c r="G902" i="2"/>
  <c r="M902" i="2" s="1"/>
  <c r="M908" i="2"/>
  <c r="L913" i="2"/>
  <c r="F919" i="2"/>
  <c r="G919" i="2" s="1"/>
  <c r="M919" i="2" s="1"/>
  <c r="G929" i="2"/>
  <c r="M929" i="2" s="1"/>
  <c r="G939" i="2"/>
  <c r="M939" i="2" s="1"/>
  <c r="F943" i="2"/>
  <c r="G943" i="2" s="1"/>
  <c r="M943" i="2" s="1"/>
  <c r="M948" i="2"/>
  <c r="M957" i="2"/>
  <c r="M971" i="2"/>
  <c r="L1020" i="2"/>
  <c r="F1036" i="2"/>
  <c r="M1081" i="2"/>
  <c r="M1164" i="2"/>
  <c r="L921" i="2"/>
  <c r="M921" i="2" s="1"/>
  <c r="G933" i="2"/>
  <c r="M933" i="2" s="1"/>
  <c r="G959" i="2"/>
  <c r="M959" i="2" s="1"/>
  <c r="G969" i="2"/>
  <c r="M969" i="2" s="1"/>
  <c r="G983" i="2"/>
  <c r="M983" i="2" s="1"/>
  <c r="G986" i="2"/>
  <c r="M986" i="2" s="1"/>
  <c r="G987" i="2"/>
  <c r="M987" i="2" s="1"/>
  <c r="F989" i="2"/>
  <c r="G989" i="2" s="1"/>
  <c r="M989" i="2" s="1"/>
  <c r="G990" i="2"/>
  <c r="M990" i="2" s="1"/>
  <c r="L1003" i="2"/>
  <c r="M1003" i="2" s="1"/>
  <c r="L1011" i="2"/>
  <c r="M1011" i="2" s="1"/>
  <c r="L1017" i="2"/>
  <c r="F1025" i="2"/>
  <c r="G1025" i="2" s="1"/>
  <c r="M1025" i="2" s="1"/>
  <c r="G1033" i="2"/>
  <c r="M1033" i="2" s="1"/>
  <c r="G1036" i="2"/>
  <c r="M1036" i="2" s="1"/>
  <c r="G1037" i="2"/>
  <c r="M1037" i="2" s="1"/>
  <c r="F1039" i="2"/>
  <c r="G1040" i="2"/>
  <c r="M1040" i="2" s="1"/>
  <c r="L1071" i="2"/>
  <c r="L1075" i="2"/>
  <c r="M1075" i="2" s="1"/>
  <c r="M1077" i="2"/>
  <c r="F1086" i="2"/>
  <c r="G1086" i="2" s="1"/>
  <c r="M1086" i="2" s="1"/>
  <c r="F1096" i="2"/>
  <c r="G1096" i="2" s="1"/>
  <c r="M1096" i="2" s="1"/>
  <c r="M1114" i="2"/>
  <c r="L1117" i="2"/>
  <c r="M1117" i="2" s="1"/>
  <c r="M1118" i="2"/>
  <c r="G1133" i="2"/>
  <c r="M1133" i="2" s="1"/>
  <c r="M1111" i="2"/>
  <c r="L1116" i="2"/>
  <c r="M1116" i="2" s="1"/>
  <c r="F843" i="2"/>
  <c r="G843" i="2" s="1"/>
  <c r="M843" i="2" s="1"/>
  <c r="L868" i="2"/>
  <c r="M868" i="2" s="1"/>
  <c r="F870" i="2"/>
  <c r="G870" i="2" s="1"/>
  <c r="M870" i="2" s="1"/>
  <c r="F893" i="2"/>
  <c r="G893" i="2" s="1"/>
  <c r="M893" i="2" s="1"/>
  <c r="L918" i="2"/>
  <c r="M918" i="2" s="1"/>
  <c r="F920" i="2"/>
  <c r="G920" i="2" s="1"/>
  <c r="M920" i="2" s="1"/>
  <c r="L941" i="2"/>
  <c r="M941" i="2" s="1"/>
  <c r="G946" i="2"/>
  <c r="M946" i="2" s="1"/>
  <c r="F996" i="2"/>
  <c r="G1009" i="2"/>
  <c r="M1009" i="2" s="1"/>
  <c r="F1046" i="2"/>
  <c r="G1046" i="2" s="1"/>
  <c r="M1046" i="2" s="1"/>
  <c r="G1061" i="2"/>
  <c r="M1061" i="2" s="1"/>
  <c r="L1089" i="2"/>
  <c r="M1089" i="2" s="1"/>
  <c r="M1094" i="2"/>
  <c r="M1263" i="2"/>
  <c r="M1272" i="2"/>
  <c r="M1332" i="2"/>
  <c r="G926" i="2"/>
  <c r="M926" i="2" s="1"/>
  <c r="G953" i="2"/>
  <c r="M953" i="2" s="1"/>
  <c r="M1010" i="2"/>
  <c r="M1058" i="2"/>
  <c r="M1062" i="2"/>
  <c r="M1101" i="2"/>
  <c r="M1104" i="2"/>
  <c r="M1123" i="2"/>
  <c r="L821" i="2"/>
  <c r="F823" i="2"/>
  <c r="G823" i="2" s="1"/>
  <c r="M823" i="2" s="1"/>
  <c r="F853" i="2"/>
  <c r="G853" i="2" s="1"/>
  <c r="M853" i="2" s="1"/>
  <c r="L878" i="2"/>
  <c r="F880" i="2"/>
  <c r="G880" i="2" s="1"/>
  <c r="M880" i="2" s="1"/>
  <c r="F903" i="2"/>
  <c r="L928" i="2"/>
  <c r="M928" i="2" s="1"/>
  <c r="F930" i="2"/>
  <c r="G930" i="2" s="1"/>
  <c r="M930" i="2" s="1"/>
  <c r="G947" i="2"/>
  <c r="M947" i="2" s="1"/>
  <c r="F953" i="2"/>
  <c r="L958" i="2"/>
  <c r="M958" i="2" s="1"/>
  <c r="L968" i="2"/>
  <c r="M968" i="2" s="1"/>
  <c r="F1006" i="2"/>
  <c r="G1006" i="2" s="1"/>
  <c r="M1006" i="2" s="1"/>
  <c r="G1019" i="2"/>
  <c r="M1019" i="2" s="1"/>
  <c r="F1056" i="2"/>
  <c r="G1056" i="2" s="1"/>
  <c r="M1056" i="2" s="1"/>
  <c r="G1066" i="2"/>
  <c r="M1070" i="2"/>
  <c r="M1071" i="2"/>
  <c r="G1079" i="2"/>
  <c r="M1079" i="2" s="1"/>
  <c r="L1106" i="2"/>
  <c r="M1106" i="2" s="1"/>
  <c r="G836" i="2"/>
  <c r="M836" i="2" s="1"/>
  <c r="L851" i="2"/>
  <c r="M851" i="2" s="1"/>
  <c r="G863" i="2"/>
  <c r="M863" i="2" s="1"/>
  <c r="G886" i="2"/>
  <c r="M886" i="2" s="1"/>
  <c r="L901" i="2"/>
  <c r="G936" i="2"/>
  <c r="M936" i="2" s="1"/>
  <c r="L997" i="2"/>
  <c r="M997" i="2" s="1"/>
  <c r="M1016" i="2"/>
  <c r="M1017" i="2"/>
  <c r="M1020" i="2"/>
  <c r="M1044" i="2"/>
  <c r="L1047" i="2"/>
  <c r="L1051" i="2"/>
  <c r="M1051" i="2" s="1"/>
  <c r="M1074" i="2"/>
  <c r="L838" i="2"/>
  <c r="M838" i="2" s="1"/>
  <c r="F863" i="2"/>
  <c r="L888" i="2"/>
  <c r="M888" i="2" s="1"/>
  <c r="F913" i="2"/>
  <c r="G913" i="2" s="1"/>
  <c r="M913" i="2" s="1"/>
  <c r="L938" i="2"/>
  <c r="L951" i="2"/>
  <c r="M951" i="2" s="1"/>
  <c r="G956" i="2"/>
  <c r="M956" i="2" s="1"/>
  <c r="L994" i="2"/>
  <c r="M994" i="2" s="1"/>
  <c r="L1044" i="2"/>
  <c r="M1084" i="2"/>
  <c r="G1092" i="2"/>
  <c r="M1092" i="2" s="1"/>
  <c r="M1113" i="2"/>
  <c r="M1124" i="2"/>
  <c r="L1127" i="2"/>
  <c r="G846" i="2"/>
  <c r="M846" i="2" s="1"/>
  <c r="L861" i="2"/>
  <c r="G896" i="2"/>
  <c r="M896" i="2" s="1"/>
  <c r="L911" i="2"/>
  <c r="M911" i="2" s="1"/>
  <c r="G923" i="2"/>
  <c r="M923" i="2" s="1"/>
  <c r="L945" i="2"/>
  <c r="M945" i="2" s="1"/>
  <c r="G966" i="2"/>
  <c r="M966" i="2" s="1"/>
  <c r="G976" i="2"/>
  <c r="M976" i="2" s="1"/>
  <c r="G977" i="2"/>
  <c r="M977" i="2" s="1"/>
  <c r="F979" i="2"/>
  <c r="G979" i="2" s="1"/>
  <c r="M979" i="2" s="1"/>
  <c r="G980" i="2"/>
  <c r="M980" i="2" s="1"/>
  <c r="L993" i="2"/>
  <c r="M993" i="2" s="1"/>
  <c r="L1001" i="2"/>
  <c r="L1007" i="2"/>
  <c r="M1007" i="2" s="1"/>
  <c r="F1015" i="2"/>
  <c r="G1015" i="2" s="1"/>
  <c r="M1015" i="2" s="1"/>
  <c r="G1023" i="2"/>
  <c r="M1023" i="2" s="1"/>
  <c r="G1026" i="2"/>
  <c r="M1026" i="2" s="1"/>
  <c r="G1027" i="2"/>
  <c r="M1027" i="2" s="1"/>
  <c r="F1029" i="2"/>
  <c r="G1029" i="2" s="1"/>
  <c r="M1029" i="2" s="1"/>
  <c r="G1030" i="2"/>
  <c r="M1030" i="2" s="1"/>
  <c r="L1043" i="2"/>
  <c r="M1043" i="2" s="1"/>
  <c r="F1082" i="2"/>
  <c r="G1082" i="2" s="1"/>
  <c r="M1082" i="2" s="1"/>
  <c r="F1092" i="2"/>
  <c r="G1093" i="2"/>
  <c r="M1093" i="2" s="1"/>
  <c r="L1126" i="2"/>
  <c r="M1126" i="2" s="1"/>
  <c r="M1256" i="2"/>
  <c r="M1210" i="2"/>
  <c r="M1260" i="2"/>
  <c r="G1303" i="2"/>
  <c r="M1303" i="2" s="1"/>
  <c r="G1329" i="2"/>
  <c r="M1329" i="2" s="1"/>
  <c r="M1460" i="2"/>
  <c r="G1050" i="2"/>
  <c r="M1050" i="2" s="1"/>
  <c r="L1055" i="2"/>
  <c r="M1055" i="2" s="1"/>
  <c r="F1057" i="2"/>
  <c r="G1057" i="2" s="1"/>
  <c r="M1057" i="2" s="1"/>
  <c r="L1085" i="2"/>
  <c r="F1087" i="2"/>
  <c r="F1097" i="2"/>
  <c r="G1097" i="2" s="1"/>
  <c r="M1097" i="2" s="1"/>
  <c r="L1101" i="2"/>
  <c r="F1209" i="2"/>
  <c r="G1209" i="2" s="1"/>
  <c r="M1209" i="2" s="1"/>
  <c r="G1222" i="2"/>
  <c r="M1222" i="2" s="1"/>
  <c r="F1259" i="2"/>
  <c r="G1259" i="2" s="1"/>
  <c r="M1259" i="2" s="1"/>
  <c r="M1275" i="2"/>
  <c r="G1279" i="2"/>
  <c r="M1279" i="2" s="1"/>
  <c r="G1286" i="2"/>
  <c r="M1286" i="2" s="1"/>
  <c r="M1334" i="2"/>
  <c r="M1409" i="2"/>
  <c r="M1219" i="2"/>
  <c r="M1220" i="2"/>
  <c r="M1223" i="2"/>
  <c r="M1302" i="2"/>
  <c r="M1293" i="2"/>
  <c r="M1183" i="2"/>
  <c r="L1210" i="2"/>
  <c r="G1229" i="2"/>
  <c r="M1229" i="2" s="1"/>
  <c r="M1233" i="2"/>
  <c r="G1339" i="2"/>
  <c r="M1339" i="2" s="1"/>
  <c r="M1362" i="2"/>
  <c r="G1485" i="2"/>
  <c r="M1485" i="2" s="1"/>
  <c r="F1080" i="2"/>
  <c r="G1080" i="2" s="1"/>
  <c r="M1080" i="2" s="1"/>
  <c r="G1119" i="2"/>
  <c r="M1119" i="2" s="1"/>
  <c r="G1149" i="2"/>
  <c r="M1149" i="2" s="1"/>
  <c r="F1179" i="2"/>
  <c r="G1179" i="2" s="1"/>
  <c r="M1179" i="2" s="1"/>
  <c r="L1207" i="2"/>
  <c r="M1207" i="2" s="1"/>
  <c r="F1229" i="2"/>
  <c r="G1242" i="2"/>
  <c r="M1242" i="2" s="1"/>
  <c r="L1257" i="2"/>
  <c r="M1257" i="2" s="1"/>
  <c r="L1260" i="2"/>
  <c r="L1263" i="2"/>
  <c r="M1300" i="2"/>
  <c r="L1304" i="2"/>
  <c r="M1304" i="2" s="1"/>
  <c r="F1322" i="2"/>
  <c r="G1322" i="2" s="1"/>
  <c r="M1322" i="2" s="1"/>
  <c r="L1078" i="2"/>
  <c r="M1078" i="2" s="1"/>
  <c r="G1090" i="2"/>
  <c r="M1090" i="2" s="1"/>
  <c r="L1104" i="2"/>
  <c r="F1109" i="2"/>
  <c r="G1109" i="2" s="1"/>
  <c r="M1109" i="2" s="1"/>
  <c r="G1110" i="2"/>
  <c r="M1110" i="2" s="1"/>
  <c r="L1114" i="2"/>
  <c r="F1119" i="2"/>
  <c r="G1120" i="2"/>
  <c r="M1120" i="2" s="1"/>
  <c r="L1124" i="2"/>
  <c r="F1129" i="2"/>
  <c r="G1129" i="2" s="1"/>
  <c r="M1129" i="2" s="1"/>
  <c r="G1130" i="2"/>
  <c r="M1130" i="2" s="1"/>
  <c r="L1134" i="2"/>
  <c r="M1134" i="2" s="1"/>
  <c r="F1139" i="2"/>
  <c r="G1139" i="2" s="1"/>
  <c r="M1139" i="2" s="1"/>
  <c r="G1140" i="2"/>
  <c r="M1140" i="2" s="1"/>
  <c r="L1144" i="2"/>
  <c r="M1144" i="2" s="1"/>
  <c r="F1149" i="2"/>
  <c r="G1150" i="2"/>
  <c r="M1150" i="2" s="1"/>
  <c r="L1154" i="2"/>
  <c r="M1154" i="2" s="1"/>
  <c r="F1159" i="2"/>
  <c r="G1159" i="2" s="1"/>
  <c r="M1159" i="2" s="1"/>
  <c r="G1160" i="2"/>
  <c r="M1160" i="2" s="1"/>
  <c r="L1164" i="2"/>
  <c r="F1169" i="2"/>
  <c r="G1169" i="2" s="1"/>
  <c r="M1169" i="2" s="1"/>
  <c r="G1170" i="2"/>
  <c r="M1170" i="2" s="1"/>
  <c r="L1174" i="2"/>
  <c r="M1174" i="2" s="1"/>
  <c r="F1178" i="2"/>
  <c r="G1178" i="2" s="1"/>
  <c r="M1178" i="2" s="1"/>
  <c r="G1186" i="2"/>
  <c r="M1186" i="2" s="1"/>
  <c r="G1189" i="2"/>
  <c r="M1189" i="2" s="1"/>
  <c r="G1190" i="2"/>
  <c r="M1190" i="2" s="1"/>
  <c r="F1192" i="2"/>
  <c r="G1192" i="2" s="1"/>
  <c r="M1192" i="2" s="1"/>
  <c r="G1193" i="2"/>
  <c r="M1193" i="2" s="1"/>
  <c r="L1206" i="2"/>
  <c r="M1206" i="2" s="1"/>
  <c r="L1214" i="2"/>
  <c r="M1214" i="2" s="1"/>
  <c r="L1220" i="2"/>
  <c r="F1228" i="2"/>
  <c r="G1228" i="2" s="1"/>
  <c r="M1228" i="2" s="1"/>
  <c r="G1236" i="2"/>
  <c r="M1236" i="2" s="1"/>
  <c r="G1239" i="2"/>
  <c r="M1239" i="2" s="1"/>
  <c r="G1240" i="2"/>
  <c r="M1240" i="2" s="1"/>
  <c r="F1242" i="2"/>
  <c r="G1243" i="2"/>
  <c r="M1243" i="2" s="1"/>
  <c r="L1256" i="2"/>
  <c r="M1280" i="2"/>
  <c r="L1283" i="2"/>
  <c r="M1283" i="2" s="1"/>
  <c r="L1284" i="2"/>
  <c r="M1288" i="2"/>
  <c r="M1338" i="2"/>
  <c r="M1398" i="2"/>
  <c r="G1060" i="2"/>
  <c r="M1060" i="2" s="1"/>
  <c r="L1065" i="2"/>
  <c r="M1065" i="2" s="1"/>
  <c r="F1067" i="2"/>
  <c r="G1067" i="2" s="1"/>
  <c r="M1067" i="2" s="1"/>
  <c r="F1090" i="2"/>
  <c r="L1098" i="2"/>
  <c r="M1098" i="2" s="1"/>
  <c r="G1112" i="2"/>
  <c r="M1112" i="2" s="1"/>
  <c r="G1122" i="2"/>
  <c r="M1122" i="2" s="1"/>
  <c r="G1132" i="2"/>
  <c r="M1132" i="2" s="1"/>
  <c r="G1142" i="2"/>
  <c r="M1142" i="2" s="1"/>
  <c r="G1152" i="2"/>
  <c r="M1152" i="2" s="1"/>
  <c r="G1162" i="2"/>
  <c r="M1162" i="2" s="1"/>
  <c r="G1172" i="2"/>
  <c r="M1172" i="2" s="1"/>
  <c r="G1202" i="2"/>
  <c r="M1202" i="2" s="1"/>
  <c r="L1217" i="2"/>
  <c r="M1217" i="2" s="1"/>
  <c r="M1224" i="2"/>
  <c r="G1252" i="2"/>
  <c r="M1252" i="2" s="1"/>
  <c r="M1291" i="2"/>
  <c r="M1295" i="2"/>
  <c r="M1318" i="2"/>
  <c r="M1320" i="2"/>
  <c r="G1073" i="2"/>
  <c r="M1073" i="2" s="1"/>
  <c r="L1088" i="2"/>
  <c r="M1107" i="2"/>
  <c r="M1127" i="2"/>
  <c r="M1137" i="2"/>
  <c r="M1147" i="2"/>
  <c r="M1157" i="2"/>
  <c r="M1167" i="2"/>
  <c r="M1177" i="2"/>
  <c r="L1180" i="2"/>
  <c r="M1180" i="2" s="1"/>
  <c r="F1188" i="2"/>
  <c r="G1188" i="2" s="1"/>
  <c r="M1188" i="2" s="1"/>
  <c r="G1196" i="2"/>
  <c r="M1196" i="2" s="1"/>
  <c r="G1199" i="2"/>
  <c r="M1199" i="2" s="1"/>
  <c r="G1200" i="2"/>
  <c r="M1200" i="2" s="1"/>
  <c r="F1202" i="2"/>
  <c r="G1203" i="2"/>
  <c r="M1203" i="2" s="1"/>
  <c r="L1216" i="2"/>
  <c r="M1216" i="2" s="1"/>
  <c r="L1224" i="2"/>
  <c r="M1227" i="2"/>
  <c r="L1230" i="2"/>
  <c r="M1230" i="2" s="1"/>
  <c r="F1238" i="2"/>
  <c r="G1238" i="2" s="1"/>
  <c r="M1238" i="2" s="1"/>
  <c r="G1246" i="2"/>
  <c r="M1246" i="2" s="1"/>
  <c r="G1249" i="2"/>
  <c r="M1249" i="2" s="1"/>
  <c r="G1250" i="2"/>
  <c r="M1250" i="2" s="1"/>
  <c r="F1252" i="2"/>
  <c r="G1253" i="2"/>
  <c r="M1253" i="2" s="1"/>
  <c r="G1270" i="2"/>
  <c r="M1270" i="2" s="1"/>
  <c r="L1291" i="2"/>
  <c r="L1295" i="2"/>
  <c r="F1316" i="2"/>
  <c r="G1316" i="2" s="1"/>
  <c r="M1316" i="2" s="1"/>
  <c r="M1340" i="2"/>
  <c r="M1353" i="2"/>
  <c r="G1307" i="2"/>
  <c r="M1307" i="2" s="1"/>
  <c r="F1329" i="2"/>
  <c r="G1337" i="2"/>
  <c r="M1337" i="2" s="1"/>
  <c r="F1344" i="2"/>
  <c r="G1344" i="2" s="1"/>
  <c r="M1344" i="2" s="1"/>
  <c r="L1408" i="2"/>
  <c r="M1408" i="2" s="1"/>
  <c r="L1442" i="2"/>
  <c r="M1442" i="2" s="1"/>
  <c r="M1469" i="2"/>
  <c r="F1539" i="2"/>
  <c r="G1539" i="2" s="1"/>
  <c r="M1539" i="2" s="1"/>
  <c r="G1267" i="2"/>
  <c r="M1267" i="2" s="1"/>
  <c r="L1272" i="2"/>
  <c r="F1274" i="2"/>
  <c r="G1274" i="2" s="1"/>
  <c r="M1274" i="2" s="1"/>
  <c r="L1327" i="2"/>
  <c r="G1356" i="2"/>
  <c r="M1356" i="2" s="1"/>
  <c r="L1364" i="2"/>
  <c r="M1364" i="2" s="1"/>
  <c r="L1371" i="2"/>
  <c r="M1371" i="2" s="1"/>
  <c r="F1376" i="2"/>
  <c r="G1376" i="2" s="1"/>
  <c r="M1376" i="2" s="1"/>
  <c r="M1425" i="2"/>
  <c r="L1447" i="2"/>
  <c r="M1447" i="2" s="1"/>
  <c r="M1465" i="2"/>
  <c r="G1480" i="2"/>
  <c r="M1480" i="2" s="1"/>
  <c r="G1346" i="2"/>
  <c r="M1346" i="2" s="1"/>
  <c r="M1388" i="2"/>
  <c r="G1463" i="2"/>
  <c r="M1463" i="2" s="1"/>
  <c r="G1287" i="2"/>
  <c r="M1287" i="2" s="1"/>
  <c r="M1360" i="2"/>
  <c r="G1381" i="2"/>
  <c r="M1381" i="2" s="1"/>
  <c r="M1458" i="2"/>
  <c r="M1479" i="2"/>
  <c r="F1303" i="2"/>
  <c r="G1326" i="2"/>
  <c r="M1326" i="2" s="1"/>
  <c r="G1333" i="2"/>
  <c r="M1333" i="2" s="1"/>
  <c r="F1339" i="2"/>
  <c r="G1347" i="2"/>
  <c r="M1347" i="2" s="1"/>
  <c r="M1392" i="2"/>
  <c r="M1395" i="2"/>
  <c r="M1396" i="2"/>
  <c r="G1407" i="2"/>
  <c r="M1407" i="2" s="1"/>
  <c r="M1445" i="2"/>
  <c r="L1262" i="2"/>
  <c r="M1262" i="2" s="1"/>
  <c r="F1264" i="2"/>
  <c r="G1264" i="2" s="1"/>
  <c r="M1264" i="2" s="1"/>
  <c r="G1363" i="2"/>
  <c r="M1363" i="2" s="1"/>
  <c r="F1391" i="2"/>
  <c r="G1391" i="2" s="1"/>
  <c r="M1391" i="2" s="1"/>
  <c r="G1400" i="2"/>
  <c r="M1400" i="2" s="1"/>
  <c r="G1437" i="2"/>
  <c r="M1437" i="2" s="1"/>
  <c r="G1440" i="2"/>
  <c r="M1440" i="2" s="1"/>
  <c r="M1450" i="2"/>
  <c r="M1475" i="2"/>
  <c r="M1477" i="2"/>
  <c r="G1296" i="2"/>
  <c r="M1296" i="2" s="1"/>
  <c r="G1327" i="2"/>
  <c r="M1327" i="2" s="1"/>
  <c r="G1349" i="2"/>
  <c r="M1349" i="2" s="1"/>
  <c r="L1357" i="2"/>
  <c r="M1357" i="2" s="1"/>
  <c r="M1370" i="2"/>
  <c r="G1410" i="2"/>
  <c r="M1410" i="2" s="1"/>
  <c r="M1432" i="2"/>
  <c r="M1591" i="2"/>
  <c r="G1277" i="2"/>
  <c r="M1277" i="2" s="1"/>
  <c r="L1282" i="2"/>
  <c r="M1282" i="2" s="1"/>
  <c r="F1284" i="2"/>
  <c r="G1284" i="2" s="1"/>
  <c r="M1284" i="2" s="1"/>
  <c r="L1302" i="2"/>
  <c r="L1311" i="2"/>
  <c r="M1311" i="2" s="1"/>
  <c r="L1317" i="2"/>
  <c r="M1317" i="2" s="1"/>
  <c r="L1338" i="2"/>
  <c r="F1349" i="2"/>
  <c r="G1350" i="2"/>
  <c r="M1350" i="2" s="1"/>
  <c r="G1366" i="2"/>
  <c r="M1366" i="2" s="1"/>
  <c r="M1367" i="2"/>
  <c r="F1369" i="2"/>
  <c r="G1369" i="2" s="1"/>
  <c r="M1369" i="2" s="1"/>
  <c r="L1377" i="2"/>
  <c r="M1377" i="2" s="1"/>
  <c r="L1381" i="2"/>
  <c r="L1385" i="2"/>
  <c r="M1385" i="2" s="1"/>
  <c r="M1405" i="2"/>
  <c r="F1410" i="2"/>
  <c r="M1428" i="2"/>
  <c r="M1457" i="2"/>
  <c r="L1517" i="2"/>
  <c r="M1517" i="2" s="1"/>
  <c r="G1297" i="2"/>
  <c r="M1297" i="2" s="1"/>
  <c r="G1306" i="2"/>
  <c r="M1306" i="2" s="1"/>
  <c r="F1314" i="2"/>
  <c r="G1314" i="2" s="1"/>
  <c r="M1314" i="2" s="1"/>
  <c r="L1331" i="2"/>
  <c r="M1331" i="2" s="1"/>
  <c r="L1332" i="2"/>
  <c r="G1336" i="2"/>
  <c r="M1336" i="2" s="1"/>
  <c r="G1343" i="2"/>
  <c r="M1343" i="2" s="1"/>
  <c r="F1366" i="2"/>
  <c r="M1397" i="2"/>
  <c r="L1401" i="2"/>
  <c r="L1405" i="2"/>
  <c r="F1414" i="2"/>
  <c r="G1414" i="2" s="1"/>
  <c r="M1414" i="2" s="1"/>
  <c r="G1422" i="2"/>
  <c r="M1422" i="2" s="1"/>
  <c r="M1452" i="2"/>
  <c r="L1460" i="2"/>
  <c r="G1470" i="2"/>
  <c r="M1470" i="2" s="1"/>
  <c r="L1481" i="2"/>
  <c r="L1513" i="2"/>
  <c r="M1513" i="2" s="1"/>
  <c r="L1514" i="2"/>
  <c r="M1514" i="2" s="1"/>
  <c r="G1536" i="2"/>
  <c r="M1536" i="2" s="1"/>
  <c r="M1537" i="2"/>
  <c r="M1637" i="2"/>
  <c r="G1436" i="2"/>
  <c r="M1436" i="2" s="1"/>
  <c r="L1451" i="2"/>
  <c r="G1454" i="2"/>
  <c r="M1454" i="2" s="1"/>
  <c r="F1473" i="2"/>
  <c r="G1473" i="2" s="1"/>
  <c r="M1473" i="2" s="1"/>
  <c r="G1474" i="2"/>
  <c r="M1474" i="2" s="1"/>
  <c r="F1485" i="2"/>
  <c r="G1486" i="2"/>
  <c r="M1486" i="2" s="1"/>
  <c r="L1489" i="2"/>
  <c r="M1489" i="2" s="1"/>
  <c r="F1493" i="2"/>
  <c r="G1493" i="2" s="1"/>
  <c r="M1493" i="2" s="1"/>
  <c r="F1496" i="2"/>
  <c r="G1496" i="2" s="1"/>
  <c r="M1496" i="2" s="1"/>
  <c r="G1500" i="2"/>
  <c r="M1500" i="2" s="1"/>
  <c r="L1518" i="2"/>
  <c r="G1534" i="2"/>
  <c r="M1534" i="2" s="1"/>
  <c r="F1535" i="2"/>
  <c r="G1535" i="2" s="1"/>
  <c r="M1535" i="2" s="1"/>
  <c r="G1540" i="2"/>
  <c r="M1540" i="2" s="1"/>
  <c r="F1463" i="2"/>
  <c r="L1471" i="2"/>
  <c r="G1487" i="2"/>
  <c r="M1487" i="2" s="1"/>
  <c r="M1506" i="2"/>
  <c r="M1507" i="2"/>
  <c r="M1521" i="2"/>
  <c r="F1533" i="2"/>
  <c r="G1533" i="2" s="1"/>
  <c r="M1533" i="2" s="1"/>
  <c r="F1536" i="2"/>
  <c r="G1563" i="2"/>
  <c r="M1563" i="2" s="1"/>
  <c r="G1587" i="2"/>
  <c r="M1587" i="2" s="1"/>
  <c r="G1404" i="2"/>
  <c r="M1404" i="2" s="1"/>
  <c r="L1409" i="2"/>
  <c r="F1411" i="2"/>
  <c r="G1411" i="2" s="1"/>
  <c r="M1411" i="2" s="1"/>
  <c r="F1423" i="2"/>
  <c r="G1423" i="2" s="1"/>
  <c r="M1423" i="2" s="1"/>
  <c r="G1476" i="2"/>
  <c r="M1476" i="2" s="1"/>
  <c r="G1488" i="2"/>
  <c r="F1503" i="2"/>
  <c r="G1503" i="2" s="1"/>
  <c r="G1510" i="2"/>
  <c r="M1510" i="2" s="1"/>
  <c r="M1547" i="2"/>
  <c r="M1548" i="2"/>
  <c r="M1549" i="2"/>
  <c r="G1553" i="2"/>
  <c r="M1553" i="2" s="1"/>
  <c r="M1555" i="2"/>
  <c r="M1667" i="2"/>
  <c r="G1424" i="2"/>
  <c r="M1424" i="2" s="1"/>
  <c r="G1456" i="2"/>
  <c r="M1456" i="2" s="1"/>
  <c r="M1516" i="2"/>
  <c r="G1552" i="2"/>
  <c r="M1582" i="2"/>
  <c r="G1599" i="2"/>
  <c r="M1599" i="2" s="1"/>
  <c r="L1379" i="2"/>
  <c r="M1379" i="2" s="1"/>
  <c r="F1381" i="2"/>
  <c r="F1433" i="2"/>
  <c r="G1433" i="2" s="1"/>
  <c r="M1433" i="2" s="1"/>
  <c r="G1466" i="2"/>
  <c r="M1466" i="2" s="1"/>
  <c r="L1479" i="2"/>
  <c r="F1481" i="2"/>
  <c r="G1481" i="2" s="1"/>
  <c r="G1518" i="2"/>
  <c r="M1518" i="2" s="1"/>
  <c r="L1431" i="2"/>
  <c r="M1431" i="2" s="1"/>
  <c r="G1434" i="2"/>
  <c r="M1434" i="2" s="1"/>
  <c r="L1449" i="2"/>
  <c r="M1449" i="2" s="1"/>
  <c r="F1451" i="2"/>
  <c r="G1451" i="2" s="1"/>
  <c r="L1503" i="2"/>
  <c r="L1504" i="2"/>
  <c r="M1504" i="2" s="1"/>
  <c r="L1555" i="2"/>
  <c r="G1577" i="2"/>
  <c r="M1577" i="2" s="1"/>
  <c r="M1578" i="2"/>
  <c r="G1579" i="2"/>
  <c r="M1579" i="2" s="1"/>
  <c r="M1581" i="2"/>
  <c r="G1394" i="2"/>
  <c r="M1394" i="2" s="1"/>
  <c r="L1399" i="2"/>
  <c r="M1399" i="2" s="1"/>
  <c r="F1401" i="2"/>
  <c r="G1401" i="2" s="1"/>
  <c r="M1401" i="2" s="1"/>
  <c r="F1443" i="2"/>
  <c r="G1443" i="2" s="1"/>
  <c r="M1443" i="2" s="1"/>
  <c r="L1469" i="2"/>
  <c r="F1471" i="2"/>
  <c r="G1471" i="2" s="1"/>
  <c r="G1478" i="2"/>
  <c r="M1478" i="2" s="1"/>
  <c r="G1526" i="2"/>
  <c r="M1526" i="2" s="1"/>
  <c r="M1527" i="2"/>
  <c r="G1528" i="2"/>
  <c r="M1528" i="2" s="1"/>
  <c r="G1574" i="2"/>
  <c r="M1574" i="2" s="1"/>
  <c r="M1580" i="2"/>
  <c r="M1616" i="2"/>
  <c r="G1426" i="2"/>
  <c r="M1426" i="2" s="1"/>
  <c r="L1441" i="2"/>
  <c r="M1441" i="2" s="1"/>
  <c r="G1444" i="2"/>
  <c r="M1444" i="2" s="1"/>
  <c r="L1459" i="2"/>
  <c r="M1459" i="2" s="1"/>
  <c r="F1461" i="2"/>
  <c r="G1461" i="2" s="1"/>
  <c r="M1461" i="2" s="1"/>
  <c r="F1483" i="2"/>
  <c r="G1483" i="2" s="1"/>
  <c r="M1483" i="2" s="1"/>
  <c r="G1484" i="2"/>
  <c r="M1484" i="2" s="1"/>
  <c r="L1488" i="2"/>
  <c r="M1497" i="2"/>
  <c r="G1524" i="2"/>
  <c r="M1524" i="2" s="1"/>
  <c r="F1525" i="2"/>
  <c r="G1525" i="2" s="1"/>
  <c r="M1525" i="2" s="1"/>
  <c r="G1530" i="2"/>
  <c r="M1530" i="2" s="1"/>
  <c r="L1545" i="2"/>
  <c r="M1545" i="2" s="1"/>
  <c r="L1552" i="2"/>
  <c r="G1572" i="2"/>
  <c r="M1572" i="2" s="1"/>
  <c r="M1573" i="2"/>
  <c r="G1592" i="2"/>
  <c r="M1592" i="2" s="1"/>
  <c r="M1641" i="2"/>
  <c r="M1653" i="2"/>
  <c r="L1560" i="2"/>
  <c r="M1560" i="2" s="1"/>
  <c r="F1599" i="2"/>
  <c r="L1610" i="2"/>
  <c r="M1610" i="2" s="1"/>
  <c r="G1622" i="2"/>
  <c r="M1622" i="2" s="1"/>
  <c r="G1623" i="2"/>
  <c r="M1623" i="2" s="1"/>
  <c r="G1625" i="2"/>
  <c r="M1625" i="2" s="1"/>
  <c r="M1647" i="2"/>
  <c r="L1706" i="2"/>
  <c r="M1706" i="2" s="1"/>
  <c r="F1721" i="2"/>
  <c r="F1563" i="2"/>
  <c r="F1572" i="2"/>
  <c r="L1594" i="2"/>
  <c r="M1594" i="2" s="1"/>
  <c r="M1600" i="2"/>
  <c r="F1602" i="2"/>
  <c r="G1602" i="2" s="1"/>
  <c r="M1602" i="2" s="1"/>
  <c r="G1603" i="2"/>
  <c r="M1603" i="2" s="1"/>
  <c r="G1619" i="2"/>
  <c r="M1619" i="2" s="1"/>
  <c r="F1622" i="2"/>
  <c r="G1626" i="2"/>
  <c r="M1626" i="2" s="1"/>
  <c r="L1647" i="2"/>
  <c r="M1654" i="2"/>
  <c r="M1658" i="2"/>
  <c r="L1662" i="2"/>
  <c r="F1679" i="2"/>
  <c r="G1679" i="2" s="1"/>
  <c r="M1679" i="2" s="1"/>
  <c r="M1726" i="2"/>
  <c r="G1605" i="2"/>
  <c r="M1605" i="2" s="1"/>
  <c r="M1620" i="2"/>
  <c r="M1633" i="2"/>
  <c r="M1690" i="2"/>
  <c r="G1715" i="2"/>
  <c r="M1715" i="2" s="1"/>
  <c r="G1748" i="2"/>
  <c r="M1748" i="2" s="1"/>
  <c r="M1781" i="2"/>
  <c r="M1868" i="2"/>
  <c r="G1556" i="2"/>
  <c r="M1556" i="2" s="1"/>
  <c r="G1565" i="2"/>
  <c r="M1565" i="2" s="1"/>
  <c r="L1571" i="2"/>
  <c r="M1571" i="2" s="1"/>
  <c r="L1580" i="2"/>
  <c r="F1592" i="2"/>
  <c r="L1600" i="2"/>
  <c r="M1624" i="2"/>
  <c r="G1642" i="2"/>
  <c r="M1642" i="2" s="1"/>
  <c r="M1643" i="2"/>
  <c r="G1645" i="2"/>
  <c r="M1645" i="2" s="1"/>
  <c r="M1709" i="2"/>
  <c r="M1766" i="2"/>
  <c r="G1566" i="2"/>
  <c r="M1566" i="2" s="1"/>
  <c r="G1575" i="2"/>
  <c r="M1575" i="2" s="1"/>
  <c r="F1583" i="2"/>
  <c r="G1583" i="2" s="1"/>
  <c r="M1583" i="2" s="1"/>
  <c r="G1593" i="2"/>
  <c r="M1593" i="2" s="1"/>
  <c r="G1609" i="2"/>
  <c r="M1609" i="2" s="1"/>
  <c r="L1617" i="2"/>
  <c r="M1617" i="2" s="1"/>
  <c r="L1620" i="2"/>
  <c r="L1624" i="2"/>
  <c r="G1639" i="2"/>
  <c r="M1639" i="2" s="1"/>
  <c r="F1642" i="2"/>
  <c r="G1646" i="2"/>
  <c r="M1646" i="2" s="1"/>
  <c r="L1581" i="2"/>
  <c r="L1590" i="2"/>
  <c r="M1590" i="2" s="1"/>
  <c r="G1595" i="2"/>
  <c r="M1595" i="2" s="1"/>
  <c r="G1612" i="2"/>
  <c r="M1612" i="2" s="1"/>
  <c r="M1640" i="2"/>
  <c r="M1661" i="2"/>
  <c r="M1729" i="2"/>
  <c r="M1775" i="2"/>
  <c r="M1808" i="2"/>
  <c r="G1546" i="2"/>
  <c r="M1546" i="2" s="1"/>
  <c r="L1551" i="2"/>
  <c r="M1551" i="2" s="1"/>
  <c r="F1553" i="2"/>
  <c r="G1576" i="2"/>
  <c r="M1576" i="2" s="1"/>
  <c r="G1585" i="2"/>
  <c r="M1585" i="2" s="1"/>
  <c r="F1612" i="2"/>
  <c r="M1613" i="2"/>
  <c r="L1627" i="2"/>
  <c r="M1627" i="2" s="1"/>
  <c r="L1630" i="2"/>
  <c r="M1630" i="2" s="1"/>
  <c r="F1652" i="2"/>
  <c r="G1652" i="2" s="1"/>
  <c r="M1652" i="2" s="1"/>
  <c r="G1660" i="2"/>
  <c r="M1660" i="2" s="1"/>
  <c r="G1693" i="2"/>
  <c r="M1693" i="2" s="1"/>
  <c r="M1699" i="2"/>
  <c r="L1591" i="2"/>
  <c r="G1615" i="2"/>
  <c r="M1615" i="2" s="1"/>
  <c r="M1644" i="2"/>
  <c r="F1649" i="2"/>
  <c r="G1649" i="2" s="1"/>
  <c r="M1649" i="2" s="1"/>
  <c r="M1650" i="2"/>
  <c r="G1656" i="2"/>
  <c r="M1656" i="2" s="1"/>
  <c r="F1659" i="2"/>
  <c r="G1659" i="2" s="1"/>
  <c r="M1659" i="2" s="1"/>
  <c r="F1664" i="2"/>
  <c r="G1664" i="2" s="1"/>
  <c r="M1664" i="2" s="1"/>
  <c r="G1668" i="2"/>
  <c r="M1668" i="2" s="1"/>
  <c r="G1671" i="2"/>
  <c r="M1671" i="2" s="1"/>
  <c r="G1675" i="2"/>
  <c r="M1675" i="2" s="1"/>
  <c r="G1676" i="2"/>
  <c r="M1676" i="2" s="1"/>
  <c r="G1684" i="2"/>
  <c r="M1684" i="2" s="1"/>
  <c r="G1685" i="2"/>
  <c r="M1685" i="2" s="1"/>
  <c r="G1688" i="2"/>
  <c r="M1688" i="2" s="1"/>
  <c r="L1732" i="2"/>
  <c r="M1732" i="2" s="1"/>
  <c r="M1814" i="2"/>
  <c r="G1708" i="2"/>
  <c r="M1708" i="2" s="1"/>
  <c r="L1716" i="2"/>
  <c r="M1716" i="2" s="1"/>
  <c r="G1721" i="2"/>
  <c r="M1721" i="2" s="1"/>
  <c r="G1780" i="2"/>
  <c r="M1780" i="2" s="1"/>
  <c r="M1790" i="2"/>
  <c r="L1690" i="2"/>
  <c r="F1702" i="2"/>
  <c r="G1702" i="2" s="1"/>
  <c r="M1702" i="2" s="1"/>
  <c r="G1735" i="2"/>
  <c r="M1735" i="2" s="1"/>
  <c r="L1740" i="2"/>
  <c r="M1740" i="2" s="1"/>
  <c r="L1753" i="2"/>
  <c r="M1753" i="2" s="1"/>
  <c r="F1758" i="2"/>
  <c r="G1758" i="2" s="1"/>
  <c r="M1758" i="2" s="1"/>
  <c r="G1759" i="2"/>
  <c r="M1759" i="2" s="1"/>
  <c r="G1761" i="2"/>
  <c r="M1761" i="2" s="1"/>
  <c r="L1770" i="2"/>
  <c r="F1780" i="2"/>
  <c r="L1790" i="2"/>
  <c r="M1809" i="2"/>
  <c r="M1851" i="2"/>
  <c r="M1852" i="2"/>
  <c r="G1698" i="2"/>
  <c r="M1698" i="2" s="1"/>
  <c r="L1700" i="2"/>
  <c r="M1700" i="2" s="1"/>
  <c r="M1719" i="2"/>
  <c r="G1722" i="2"/>
  <c r="M1722" i="2" s="1"/>
  <c r="F1728" i="2"/>
  <c r="G1728" i="2" s="1"/>
  <c r="M1728" i="2" s="1"/>
  <c r="F1735" i="2"/>
  <c r="M1743" i="2"/>
  <c r="F1761" i="2"/>
  <c r="G1762" i="2"/>
  <c r="M1762" i="2" s="1"/>
  <c r="G1765" i="2"/>
  <c r="M1765" i="2" s="1"/>
  <c r="G1784" i="2"/>
  <c r="M1784" i="2" s="1"/>
  <c r="G1785" i="2"/>
  <c r="M1785" i="2" s="1"/>
  <c r="M1794" i="2"/>
  <c r="G1800" i="2"/>
  <c r="M1800" i="2" s="1"/>
  <c r="M1810" i="2"/>
  <c r="L1813" i="2"/>
  <c r="G1819" i="2"/>
  <c r="M1819" i="2" s="1"/>
  <c r="G1838" i="2"/>
  <c r="M1838" i="2" s="1"/>
  <c r="M2008" i="2"/>
  <c r="L1687" i="2"/>
  <c r="M1687" i="2" s="1"/>
  <c r="F1689" i="2"/>
  <c r="G1689" i="2" s="1"/>
  <c r="M1689" i="2" s="1"/>
  <c r="L1707" i="2"/>
  <c r="M1707" i="2" s="1"/>
  <c r="F1715" i="2"/>
  <c r="L1726" i="2"/>
  <c r="G1731" i="2"/>
  <c r="M1731" i="2" s="1"/>
  <c r="G1738" i="2"/>
  <c r="M1738" i="2" s="1"/>
  <c r="F1748" i="2"/>
  <c r="G1749" i="2"/>
  <c r="G1751" i="2"/>
  <c r="M1751" i="2" s="1"/>
  <c r="L1756" i="2"/>
  <c r="M1756" i="2" s="1"/>
  <c r="L1775" i="2"/>
  <c r="L1778" i="2"/>
  <c r="M1778" i="2" s="1"/>
  <c r="F1784" i="2"/>
  <c r="G1788" i="2"/>
  <c r="M1788" i="2" s="1"/>
  <c r="G1834" i="2"/>
  <c r="M1834" i="2" s="1"/>
  <c r="G1695" i="2"/>
  <c r="M1695" i="2" s="1"/>
  <c r="G1705" i="2"/>
  <c r="M1705" i="2" s="1"/>
  <c r="M1739" i="2"/>
  <c r="M1752" i="2"/>
  <c r="M1789" i="2"/>
  <c r="M1804" i="2"/>
  <c r="G1823" i="2"/>
  <c r="M1823" i="2" s="1"/>
  <c r="M1825" i="2"/>
  <c r="M1829" i="2"/>
  <c r="G1830" i="2"/>
  <c r="M1830" i="2" s="1"/>
  <c r="G1662" i="2"/>
  <c r="M1662" i="2" s="1"/>
  <c r="L1667" i="2"/>
  <c r="F1669" i="2"/>
  <c r="G1669" i="2" s="1"/>
  <c r="M1669" i="2" s="1"/>
  <c r="F1705" i="2"/>
  <c r="G1741" i="2"/>
  <c r="M1741" i="2" s="1"/>
  <c r="M1746" i="2"/>
  <c r="L1763" i="2"/>
  <c r="F1803" i="2"/>
  <c r="G1803" i="2" s="1"/>
  <c r="M1803" i="2" s="1"/>
  <c r="L1817" i="2"/>
  <c r="M1817" i="2" s="1"/>
  <c r="L1703" i="2"/>
  <c r="M1703" i="2" s="1"/>
  <c r="G1725" i="2"/>
  <c r="M1725" i="2" s="1"/>
  <c r="M1736" i="2"/>
  <c r="F1741" i="2"/>
  <c r="G1742" i="2"/>
  <c r="M1742" i="2" s="1"/>
  <c r="L1746" i="2"/>
  <c r="G1755" i="2"/>
  <c r="M1755" i="2" s="1"/>
  <c r="F1769" i="2"/>
  <c r="G1769" i="2" s="1"/>
  <c r="M1769" i="2" s="1"/>
  <c r="G1770" i="2"/>
  <c r="M1770" i="2" s="1"/>
  <c r="F1792" i="2"/>
  <c r="G1792" i="2" s="1"/>
  <c r="M1792" i="2" s="1"/>
  <c r="M1793" i="2"/>
  <c r="L1840" i="2"/>
  <c r="F1682" i="2"/>
  <c r="G1682" i="2" s="1"/>
  <c r="M1682" i="2" s="1"/>
  <c r="F1718" i="2"/>
  <c r="G1718" i="2" s="1"/>
  <c r="M1718" i="2" s="1"/>
  <c r="L1736" i="2"/>
  <c r="L1749" i="2"/>
  <c r="L1786" i="2"/>
  <c r="M1812" i="2"/>
  <c r="M1821" i="2"/>
  <c r="M1857" i="2"/>
  <c r="L1680" i="2"/>
  <c r="M1680" i="2" s="1"/>
  <c r="G1692" i="2"/>
  <c r="M1692" i="2" s="1"/>
  <c r="F1712" i="2"/>
  <c r="G1712" i="2" s="1"/>
  <c r="M1712" i="2" s="1"/>
  <c r="L1723" i="2"/>
  <c r="M1723" i="2" s="1"/>
  <c r="L1730" i="2"/>
  <c r="M1730" i="2" s="1"/>
  <c r="M1767" i="2"/>
  <c r="G1774" i="2"/>
  <c r="M1774" i="2" s="1"/>
  <c r="G1777" i="2"/>
  <c r="M1777" i="2" s="1"/>
  <c r="G1796" i="2"/>
  <c r="M1796" i="2" s="1"/>
  <c r="L1801" i="2"/>
  <c r="M1801" i="2" s="1"/>
  <c r="L1805" i="2"/>
  <c r="M1805" i="2" s="1"/>
  <c r="L1806" i="2"/>
  <c r="F1811" i="2"/>
  <c r="G1811" i="2" s="1"/>
  <c r="F1815" i="2"/>
  <c r="G1815" i="2" s="1"/>
  <c r="M1815" i="2" s="1"/>
  <c r="G1816" i="2"/>
  <c r="M1816" i="2" s="1"/>
  <c r="M1822" i="2"/>
  <c r="M1827" i="2"/>
  <c r="L1864" i="2"/>
  <c r="L1868" i="2"/>
  <c r="L1821" i="2"/>
  <c r="F1823" i="2"/>
  <c r="L1826" i="2"/>
  <c r="F1828" i="2"/>
  <c r="G1828" i="2" s="1"/>
  <c r="M1828" i="2" s="1"/>
  <c r="G1843" i="2"/>
  <c r="M1843" i="2" s="1"/>
  <c r="L1856" i="2"/>
  <c r="L1863" i="2"/>
  <c r="L1867" i="2"/>
  <c r="M1867" i="2" s="1"/>
  <c r="G1960" i="2"/>
  <c r="M1960" i="2" s="1"/>
  <c r="G1853" i="2"/>
  <c r="M1853" i="2" s="1"/>
  <c r="G1839" i="2"/>
  <c r="M1839" i="2" s="1"/>
  <c r="G1854" i="2"/>
  <c r="M1854" i="2" s="1"/>
  <c r="M1872" i="2"/>
  <c r="G1786" i="2"/>
  <c r="M1786" i="2" s="1"/>
  <c r="M1862" i="2"/>
  <c r="M1865" i="2"/>
  <c r="M1869" i="2"/>
  <c r="M1920" i="2"/>
  <c r="M1924" i="2"/>
  <c r="M1927" i="2"/>
  <c r="M1929" i="2"/>
  <c r="L1969" i="2"/>
  <c r="G1826" i="2"/>
  <c r="M1826" i="2" s="1"/>
  <c r="G1840" i="2"/>
  <c r="M1840" i="2" s="1"/>
  <c r="G1848" i="2"/>
  <c r="M1848" i="2" s="1"/>
  <c r="F1870" i="2"/>
  <c r="G1870" i="2" s="1"/>
  <c r="M1870" i="2" s="1"/>
  <c r="M1877" i="2"/>
  <c r="M1972" i="2"/>
  <c r="M1974" i="2"/>
  <c r="F1763" i="2"/>
  <c r="G1763" i="2" s="1"/>
  <c r="M1763" i="2" s="1"/>
  <c r="G1806" i="2"/>
  <c r="M1806" i="2" s="1"/>
  <c r="L1811" i="2"/>
  <c r="F1813" i="2"/>
  <c r="G1813" i="2" s="1"/>
  <c r="M1813" i="2" s="1"/>
  <c r="G1836" i="2"/>
  <c r="M1836" i="2" s="1"/>
  <c r="F1847" i="2"/>
  <c r="G1847" i="2" s="1"/>
  <c r="M1847" i="2" s="1"/>
  <c r="G1849" i="2"/>
  <c r="M1849" i="2" s="1"/>
  <c r="M1901" i="2"/>
  <c r="M1914" i="2"/>
  <c r="L1929" i="2"/>
  <c r="L1852" i="2"/>
  <c r="F1856" i="2"/>
  <c r="F1858" i="2"/>
  <c r="G1858" i="2" s="1"/>
  <c r="M1912" i="2"/>
  <c r="G1913" i="2"/>
  <c r="M1913" i="2" s="1"/>
  <c r="M1916" i="2"/>
  <c r="F1950" i="2"/>
  <c r="M1964" i="2"/>
  <c r="M2017" i="2"/>
  <c r="G1776" i="2"/>
  <c r="M1776" i="2" s="1"/>
  <c r="L1781" i="2"/>
  <c r="F1783" i="2"/>
  <c r="G1783" i="2" s="1"/>
  <c r="M1783" i="2" s="1"/>
  <c r="L1845" i="2"/>
  <c r="M1845" i="2" s="1"/>
  <c r="G1850" i="2"/>
  <c r="M1850" i="2" s="1"/>
  <c r="M1864" i="2"/>
  <c r="M1917" i="2"/>
  <c r="M1962" i="2"/>
  <c r="G1846" i="2"/>
  <c r="M1846" i="2" s="1"/>
  <c r="L1851" i="2"/>
  <c r="F1853" i="2"/>
  <c r="F1878" i="2"/>
  <c r="G1878" i="2" s="1"/>
  <c r="M1878" i="2" s="1"/>
  <c r="L1888" i="2"/>
  <c r="F1910" i="2"/>
  <c r="G1910" i="2" s="1"/>
  <c r="M1910" i="2" s="1"/>
  <c r="F1911" i="2"/>
  <c r="G1911" i="2" s="1"/>
  <c r="M1911" i="2" s="1"/>
  <c r="F1913" i="2"/>
  <c r="G1922" i="2"/>
  <c r="M1922" i="2" s="1"/>
  <c r="L1938" i="2"/>
  <c r="F1959" i="2"/>
  <c r="G1959" i="2" s="1"/>
  <c r="M1959" i="2" s="1"/>
  <c r="F1960" i="2"/>
  <c r="F1961" i="2"/>
  <c r="G1961" i="2" s="1"/>
  <c r="M1961" i="2" s="1"/>
  <c r="F1963" i="2"/>
  <c r="G1963" i="2" s="1"/>
  <c r="M1963" i="2" s="1"/>
  <c r="G1973" i="2"/>
  <c r="M1973" i="2" s="1"/>
  <c r="M1978" i="2"/>
  <c r="G2000" i="2"/>
  <c r="M2000" i="2" s="1"/>
  <c r="M2001" i="2"/>
  <c r="M2022" i="2"/>
  <c r="G1996" i="2"/>
  <c r="M1996" i="2" s="1"/>
  <c r="F2000" i="2"/>
  <c r="L2008" i="2"/>
  <c r="F2023" i="2"/>
  <c r="G2023" i="2" s="1"/>
  <c r="M2023" i="2" s="1"/>
  <c r="F1921" i="2"/>
  <c r="G1921" i="2" s="1"/>
  <c r="M1932" i="2"/>
  <c r="F1970" i="2"/>
  <c r="G1970" i="2" s="1"/>
  <c r="M1970" i="2" s="1"/>
  <c r="G2020" i="2"/>
  <c r="M2020" i="2" s="1"/>
  <c r="M2021" i="2"/>
  <c r="F1863" i="2"/>
  <c r="G1863" i="2" s="1"/>
  <c r="M1863" i="2" s="1"/>
  <c r="F1873" i="2"/>
  <c r="G1873" i="2" s="1"/>
  <c r="M1873" i="2" s="1"/>
  <c r="L1878" i="2"/>
  <c r="G1883" i="2"/>
  <c r="M1883" i="2" s="1"/>
  <c r="M1884" i="2"/>
  <c r="L1896" i="2"/>
  <c r="L1911" i="2"/>
  <c r="L1913" i="2"/>
  <c r="F1918" i="2"/>
  <c r="G1918" i="2" s="1"/>
  <c r="M1918" i="2" s="1"/>
  <c r="G1926" i="2"/>
  <c r="M1926" i="2" s="1"/>
  <c r="G1930" i="2"/>
  <c r="M1930" i="2" s="1"/>
  <c r="G1933" i="2"/>
  <c r="M1933" i="2" s="1"/>
  <c r="M1934" i="2"/>
  <c r="L1946" i="2"/>
  <c r="M1968" i="2"/>
  <c r="L1978" i="2"/>
  <c r="F2020" i="2"/>
  <c r="G1892" i="2"/>
  <c r="M1892" i="2" s="1"/>
  <c r="G1942" i="2"/>
  <c r="M1942" i="2" s="1"/>
  <c r="L1949" i="2"/>
  <c r="M1949" i="2" s="1"/>
  <c r="L1973" i="2"/>
  <c r="G1990" i="2"/>
  <c r="M1990" i="2" s="1"/>
  <c r="M1991" i="2"/>
  <c r="M1999" i="2"/>
  <c r="M2012" i="2"/>
  <c r="G2013" i="2"/>
  <c r="M2013" i="2" s="1"/>
  <c r="L2025" i="2"/>
  <c r="M2025" i="2" s="1"/>
  <c r="G1886" i="2"/>
  <c r="M1886" i="2" s="1"/>
  <c r="M1890" i="2"/>
  <c r="G1893" i="2"/>
  <c r="M1893" i="2" s="1"/>
  <c r="G1894" i="2"/>
  <c r="M1894" i="2" s="1"/>
  <c r="L1921" i="2"/>
  <c r="M1928" i="2"/>
  <c r="G1936" i="2"/>
  <c r="M1936" i="2" s="1"/>
  <c r="M1940" i="2"/>
  <c r="G1944" i="2"/>
  <c r="M1944" i="2" s="1"/>
  <c r="M1969" i="2"/>
  <c r="G1986" i="2"/>
  <c r="M1986" i="2" s="1"/>
  <c r="M2015" i="2"/>
  <c r="L2021" i="2"/>
  <c r="G1856" i="2"/>
  <c r="M1856" i="2" s="1"/>
  <c r="L1873" i="2"/>
  <c r="G1876" i="2"/>
  <c r="M1876" i="2" s="1"/>
  <c r="L1881" i="2"/>
  <c r="M1881" i="2" s="1"/>
  <c r="F1893" i="2"/>
  <c r="M1902" i="2"/>
  <c r="L1918" i="2"/>
  <c r="F1943" i="2"/>
  <c r="G1943" i="2" s="1"/>
  <c r="M1943" i="2" s="1"/>
  <c r="G1952" i="2"/>
  <c r="M1952" i="2" s="1"/>
  <c r="L1968" i="2"/>
  <c r="M1982" i="2"/>
  <c r="M1988" i="2"/>
  <c r="G2010" i="2"/>
  <c r="M2010" i="2" s="1"/>
  <c r="M2011" i="2"/>
  <c r="L1858" i="2"/>
  <c r="F1860" i="2"/>
  <c r="G1860" i="2" s="1"/>
  <c r="M1860" i="2" s="1"/>
  <c r="L1879" i="2"/>
  <c r="M1879" i="2" s="1"/>
  <c r="L1883" i="2"/>
  <c r="F1888" i="2"/>
  <c r="G1888" i="2" s="1"/>
  <c r="F1891" i="2"/>
  <c r="G1891" i="2" s="1"/>
  <c r="M1891" i="2" s="1"/>
  <c r="G1896" i="2"/>
  <c r="M1896" i="2" s="1"/>
  <c r="G1900" i="2"/>
  <c r="M1900" i="2" s="1"/>
  <c r="G1903" i="2"/>
  <c r="M1903" i="2" s="1"/>
  <c r="G1904" i="2"/>
  <c r="M1904" i="2" s="1"/>
  <c r="L1916" i="2"/>
  <c r="L1919" i="2"/>
  <c r="M1919" i="2" s="1"/>
  <c r="L1931" i="2"/>
  <c r="M1931" i="2" s="1"/>
  <c r="L1933" i="2"/>
  <c r="F1938" i="2"/>
  <c r="G1938" i="2" s="1"/>
  <c r="F1941" i="2"/>
  <c r="G1941" i="2" s="1"/>
  <c r="M1941" i="2" s="1"/>
  <c r="G1946" i="2"/>
  <c r="G1950" i="2"/>
  <c r="M1950" i="2" s="1"/>
  <c r="G1953" i="2"/>
  <c r="M1953" i="2" s="1"/>
  <c r="G1954" i="2"/>
  <c r="M1954" i="2" s="1"/>
  <c r="L1966" i="2"/>
  <c r="M1966" i="2" s="1"/>
  <c r="F1983" i="2"/>
  <c r="G1983" i="2" s="1"/>
  <c r="M1983" i="2" s="1"/>
  <c r="M1985" i="2"/>
  <c r="L1991" i="2"/>
  <c r="M2004" i="2"/>
  <c r="G2006" i="2"/>
  <c r="M2006" i="2" s="1"/>
  <c r="F2010" i="2"/>
  <c r="L2018" i="2"/>
  <c r="M2018" i="2" s="1"/>
  <c r="M755" i="2" l="1"/>
  <c r="M383" i="2"/>
  <c r="M789" i="2"/>
  <c r="M266" i="2"/>
  <c r="M1858" i="2"/>
  <c r="M1811" i="2"/>
  <c r="M1749" i="2"/>
  <c r="M850" i="2"/>
  <c r="M670" i="2"/>
  <c r="M5" i="2"/>
  <c r="M1481" i="2"/>
  <c r="M878" i="2"/>
  <c r="M458" i="2"/>
  <c r="M1946" i="2"/>
  <c r="M1921" i="2"/>
  <c r="M1471" i="2"/>
  <c r="M537" i="2"/>
  <c r="M647" i="2"/>
  <c r="M418" i="2"/>
  <c r="M453" i="2"/>
  <c r="M821" i="2"/>
  <c r="M605" i="2"/>
  <c r="M1552" i="2"/>
  <c r="M1888" i="2"/>
  <c r="M1503" i="2"/>
  <c r="M1938" i="2"/>
  <c r="M1451" i="2"/>
  <c r="M1488" i="2"/>
  <c r="M1066" i="2"/>
  <c r="M512" i="2"/>
  <c r="M196" i="2"/>
  <c r="M19" i="2"/>
</calcChain>
</file>

<file path=xl/sharedStrings.xml><?xml version="1.0" encoding="utf-8"?>
<sst xmlns="http://schemas.openxmlformats.org/spreadsheetml/2006/main" count="101" uniqueCount="81">
  <si>
    <t>Category</t>
  </si>
  <si>
    <t>Item</t>
  </si>
  <si>
    <t>Cell Name</t>
  </si>
  <si>
    <t>Value</t>
  </si>
  <si>
    <t>Notes</t>
  </si>
  <si>
    <t>Time</t>
  </si>
  <si>
    <t>Start Year</t>
  </si>
  <si>
    <t>StartYear</t>
  </si>
  <si>
    <t>Projection Years</t>
  </si>
  <si>
    <t>Years</t>
  </si>
  <si>
    <t>Number of years in pro forma</t>
  </si>
  <si>
    <t>Faculty Practice</t>
  </si>
  <si>
    <t>Faculty FTE (clinically billing)</t>
  </si>
  <si>
    <t>FacultyFTE</t>
  </si>
  <si>
    <t>Number of faculty doing billable practice</t>
  </si>
  <si>
    <t>Practice hours / week / FTE</t>
  </si>
  <si>
    <t>HoursPerWeek</t>
  </si>
  <si>
    <t>Weeks per year (billable)</t>
  </si>
  <si>
    <t>WeeksPerYear</t>
  </si>
  <si>
    <t>Billable rate ($/hr)</t>
  </si>
  <si>
    <t>RatePerHour</t>
  </si>
  <si>
    <t>Annual growth (decimal)</t>
  </si>
  <si>
    <t>PracticeGrowth</t>
  </si>
  <si>
    <t>5% year-over-year</t>
  </si>
  <si>
    <t>Tuition</t>
  </si>
  <si>
    <t>Students in Year 1</t>
  </si>
  <si>
    <t>StudentsY1</t>
  </si>
  <si>
    <t>Annual student growth (decimal)</t>
  </si>
  <si>
    <t>StudentGrowth</t>
  </si>
  <si>
    <t>5% YoY student growth</t>
  </si>
  <si>
    <t>Credits per student per year</t>
  </si>
  <si>
    <t>CreditsPerStudent</t>
  </si>
  <si>
    <t>Tuition per credit ($)</t>
  </si>
  <si>
    <t>TuitionPerCredit</t>
  </si>
  <si>
    <t>Simulation</t>
  </si>
  <si>
    <t>Simulation revenue in Year 1 ($)</t>
  </si>
  <si>
    <t>SimRevY1</t>
  </si>
  <si>
    <t>SimGrowth</t>
  </si>
  <si>
    <t>Faculty Development</t>
  </si>
  <si>
    <t>Faculty dev revenue in Year 1 ($)</t>
  </si>
  <si>
    <t>FacDevRevY1</t>
  </si>
  <si>
    <t>FacDevGrowth</t>
  </si>
  <si>
    <t>Costs</t>
  </si>
  <si>
    <t>Faculty salary per FTE ($)</t>
  </si>
  <si>
    <t>SalaryPerFTE</t>
  </si>
  <si>
    <t>Faculty salary FTE Count</t>
  </si>
  <si>
    <t>SalaryFTECount</t>
  </si>
  <si>
    <t>If different from clinical FTEs, change here</t>
  </si>
  <si>
    <t>Annual salary growth (decimal)</t>
  </si>
  <si>
    <t>SalaryGrowth</t>
  </si>
  <si>
    <t>Simulation ops cost in Year 1 ($)</t>
  </si>
  <si>
    <t>SimOpsY1</t>
  </si>
  <si>
    <t>Sim ops annual growth (decimal)</t>
  </si>
  <si>
    <t>SimOpsGrowth</t>
  </si>
  <si>
    <t>Training/dev cost in Year 1 ($)</t>
  </si>
  <si>
    <t>TrainDevY1</t>
  </si>
  <si>
    <t>Training/dev annual growth (decimal)</t>
  </si>
  <si>
    <t>TrainDevGrowth</t>
  </si>
  <si>
    <t>Admin overhead in Year 1 ($)</t>
  </si>
  <si>
    <t>AdminY1</t>
  </si>
  <si>
    <t>Admin annual growth (decimal)</t>
  </si>
  <si>
    <t>AdminGrowth</t>
  </si>
  <si>
    <t>Year</t>
  </si>
  <si>
    <t>Practice Revenue</t>
  </si>
  <si>
    <t>Tuition Revenue (by credit)</t>
  </si>
  <si>
    <t>Simulation Revenue</t>
  </si>
  <si>
    <t>Faculty Dev Revenue</t>
  </si>
  <si>
    <t>Academic Contribution</t>
  </si>
  <si>
    <t>Total Revenue</t>
  </si>
  <si>
    <t>Faculty Salary Costs</t>
  </si>
  <si>
    <t>Simulation Ops Costs</t>
  </si>
  <si>
    <t>Training Dev Costs</t>
  </si>
  <si>
    <t>Admin Overhead</t>
  </si>
  <si>
    <t>Total Expenses</t>
  </si>
  <si>
    <t>Net Income</t>
  </si>
  <si>
    <t>How to Use this Model</t>
  </si>
  <si>
    <t>1. Edit values on the Assumptions sheet (yellow column).</t>
  </si>
  <si>
    <t>2. All outputs in 'Financial Pro Forma' will update automatically.</t>
  </si>
  <si>
    <t>3. Key drivers you can change: FacultyFTE, HoursPerWeek, RatePerHour, StudentsY1, StudentGrowth, CreditsPerStudent, TuitionPerCredit.</t>
  </si>
  <si>
    <t>4. Academic Contribution = Tuition + Simulation + Faculty Development. Practice Contribution = Practice Revenue.</t>
  </si>
  <si>
    <t>5. Add charts in Excel if desired; they will remain dynamic as the table updates.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</si>
</sst>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 (Body)"/>
    </font>
    <font>
      <sz val="14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E8EEF7"/>
      </patternFill>
    </fill>
    <fill>
      <patternFill patternType="solid">
        <fgColor rgb="FFDDEEDF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15" sqref="I15"/>
    </sheetView>
  </sheetViews>
  <sheetFormatPr baseColWidth="10" defaultColWidth="8.83203125" defaultRowHeight="19" x14ac:dyDescent="0.25"/>
  <cols>
    <col min="1" max="1" width="18.33203125" style="7" customWidth="1"/>
    <col min="2" max="2" width="35.33203125" style="7" customWidth="1"/>
    <col min="3" max="3" width="20.33203125" style="7" customWidth="1"/>
    <col min="4" max="4" width="17.1640625" style="7" customWidth="1"/>
    <col min="5" max="5" width="23" style="7" customWidth="1"/>
    <col min="6" max="6" width="8.83203125" style="7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8" t="s">
        <v>5</v>
      </c>
      <c r="B2" s="8" t="s">
        <v>6</v>
      </c>
      <c r="C2" s="8" t="s">
        <v>7</v>
      </c>
      <c r="D2" s="9">
        <v>2025</v>
      </c>
      <c r="E2" s="8"/>
    </row>
    <row r="3" spans="1:5" x14ac:dyDescent="0.25">
      <c r="A3" s="8" t="s">
        <v>5</v>
      </c>
      <c r="B3" s="8" t="s">
        <v>8</v>
      </c>
      <c r="C3" s="8" t="s">
        <v>9</v>
      </c>
      <c r="D3" s="9">
        <v>5</v>
      </c>
      <c r="E3" s="8" t="s">
        <v>10</v>
      </c>
    </row>
    <row r="4" spans="1:5" x14ac:dyDescent="0.25">
      <c r="A4" s="8" t="s">
        <v>11</v>
      </c>
      <c r="B4" s="8" t="s">
        <v>12</v>
      </c>
      <c r="C4" s="8" t="s">
        <v>13</v>
      </c>
      <c r="D4" s="9">
        <v>2</v>
      </c>
      <c r="E4" s="8" t="s">
        <v>14</v>
      </c>
    </row>
    <row r="5" spans="1:5" x14ac:dyDescent="0.25">
      <c r="A5" s="8" t="s">
        <v>11</v>
      </c>
      <c r="B5" s="8" t="s">
        <v>15</v>
      </c>
      <c r="C5" s="8" t="s">
        <v>16</v>
      </c>
      <c r="D5" s="9">
        <v>20</v>
      </c>
      <c r="E5" s="8"/>
    </row>
    <row r="6" spans="1:5" x14ac:dyDescent="0.25">
      <c r="A6" s="8" t="s">
        <v>11</v>
      </c>
      <c r="B6" s="8" t="s">
        <v>17</v>
      </c>
      <c r="C6" s="8" t="s">
        <v>18</v>
      </c>
      <c r="D6" s="9">
        <v>48</v>
      </c>
      <c r="E6" s="8"/>
    </row>
    <row r="7" spans="1:5" x14ac:dyDescent="0.25">
      <c r="A7" s="8" t="s">
        <v>11</v>
      </c>
      <c r="B7" s="8" t="s">
        <v>19</v>
      </c>
      <c r="C7" s="8" t="s">
        <v>20</v>
      </c>
      <c r="D7" s="9">
        <v>150</v>
      </c>
      <c r="E7" s="8"/>
    </row>
    <row r="8" spans="1:5" x14ac:dyDescent="0.25">
      <c r="A8" s="8" t="s">
        <v>11</v>
      </c>
      <c r="B8" s="8" t="s">
        <v>21</v>
      </c>
      <c r="C8" s="8" t="s">
        <v>22</v>
      </c>
      <c r="D8" s="9">
        <v>0.05</v>
      </c>
      <c r="E8" s="8" t="s">
        <v>23</v>
      </c>
    </row>
    <row r="9" spans="1:5" x14ac:dyDescent="0.25">
      <c r="A9" s="8" t="s">
        <v>24</v>
      </c>
      <c r="B9" s="8" t="s">
        <v>25</v>
      </c>
      <c r="C9" s="8" t="s">
        <v>26</v>
      </c>
      <c r="D9" s="9">
        <v>50</v>
      </c>
      <c r="E9" s="8"/>
    </row>
    <row r="10" spans="1:5" x14ac:dyDescent="0.25">
      <c r="A10" s="8" t="s">
        <v>24</v>
      </c>
      <c r="B10" s="8" t="s">
        <v>27</v>
      </c>
      <c r="C10" s="8" t="s">
        <v>28</v>
      </c>
      <c r="D10" s="9">
        <v>0.05</v>
      </c>
      <c r="E10" s="8" t="s">
        <v>29</v>
      </c>
    </row>
    <row r="11" spans="1:5" x14ac:dyDescent="0.25">
      <c r="A11" s="8" t="s">
        <v>24</v>
      </c>
      <c r="B11" s="8" t="s">
        <v>30</v>
      </c>
      <c r="C11" s="8" t="s">
        <v>31</v>
      </c>
      <c r="D11" s="9">
        <v>30</v>
      </c>
      <c r="E11" s="8"/>
    </row>
    <row r="12" spans="1:5" x14ac:dyDescent="0.25">
      <c r="A12" s="8" t="s">
        <v>24</v>
      </c>
      <c r="B12" s="8" t="s">
        <v>32</v>
      </c>
      <c r="C12" s="8" t="s">
        <v>33</v>
      </c>
      <c r="D12" s="9">
        <v>1200</v>
      </c>
      <c r="E12" s="8"/>
    </row>
    <row r="13" spans="1:5" x14ac:dyDescent="0.25">
      <c r="A13" s="8" t="s">
        <v>34</v>
      </c>
      <c r="B13" s="8" t="s">
        <v>35</v>
      </c>
      <c r="C13" s="8" t="s">
        <v>36</v>
      </c>
      <c r="D13" s="9">
        <v>50000</v>
      </c>
      <c r="E13" s="8"/>
    </row>
    <row r="14" spans="1:5" x14ac:dyDescent="0.25">
      <c r="A14" s="8" t="s">
        <v>34</v>
      </c>
      <c r="B14" s="8" t="s">
        <v>21</v>
      </c>
      <c r="C14" s="8" t="s">
        <v>37</v>
      </c>
      <c r="D14" s="9">
        <v>0.1</v>
      </c>
      <c r="E14" s="8"/>
    </row>
    <row r="15" spans="1:5" x14ac:dyDescent="0.25">
      <c r="A15" s="8" t="s">
        <v>38</v>
      </c>
      <c r="B15" s="8" t="s">
        <v>39</v>
      </c>
      <c r="C15" s="8" t="s">
        <v>40</v>
      </c>
      <c r="D15" s="9">
        <v>25000</v>
      </c>
      <c r="E15" s="8"/>
    </row>
    <row r="16" spans="1:5" x14ac:dyDescent="0.25">
      <c r="A16" s="8" t="s">
        <v>38</v>
      </c>
      <c r="B16" s="8" t="s">
        <v>21</v>
      </c>
      <c r="C16" s="8" t="s">
        <v>41</v>
      </c>
      <c r="D16" s="9">
        <v>0.1</v>
      </c>
      <c r="E16" s="8"/>
    </row>
    <row r="17" spans="1:5" x14ac:dyDescent="0.25">
      <c r="A17" s="8" t="s">
        <v>42</v>
      </c>
      <c r="B17" s="8" t="s">
        <v>43</v>
      </c>
      <c r="C17" s="8" t="s">
        <v>44</v>
      </c>
      <c r="D17" s="9">
        <v>105000</v>
      </c>
      <c r="E17" s="8"/>
    </row>
    <row r="18" spans="1:5" x14ac:dyDescent="0.25">
      <c r="A18" s="8" t="s">
        <v>42</v>
      </c>
      <c r="B18" s="8" t="s">
        <v>45</v>
      </c>
      <c r="C18" s="8" t="s">
        <v>46</v>
      </c>
      <c r="D18" s="9">
        <v>2</v>
      </c>
      <c r="E18" s="8" t="s">
        <v>47</v>
      </c>
    </row>
    <row r="19" spans="1:5" x14ac:dyDescent="0.25">
      <c r="A19" s="8" t="s">
        <v>42</v>
      </c>
      <c r="B19" s="8" t="s">
        <v>48</v>
      </c>
      <c r="C19" s="8" t="s">
        <v>49</v>
      </c>
      <c r="D19" s="9">
        <v>0.04</v>
      </c>
      <c r="E19" s="8"/>
    </row>
    <row r="20" spans="1:5" x14ac:dyDescent="0.25">
      <c r="A20" s="8" t="s">
        <v>42</v>
      </c>
      <c r="B20" s="8" t="s">
        <v>50</v>
      </c>
      <c r="C20" s="8" t="s">
        <v>51</v>
      </c>
      <c r="D20" s="9">
        <v>30000</v>
      </c>
      <c r="E20" s="8"/>
    </row>
    <row r="21" spans="1:5" x14ac:dyDescent="0.25">
      <c r="A21" s="8" t="s">
        <v>42</v>
      </c>
      <c r="B21" s="8" t="s">
        <v>52</v>
      </c>
      <c r="C21" s="8" t="s">
        <v>53</v>
      </c>
      <c r="D21" s="9">
        <v>0.08</v>
      </c>
      <c r="E21" s="8"/>
    </row>
    <row r="22" spans="1:5" x14ac:dyDescent="0.25">
      <c r="A22" s="8" t="s">
        <v>42</v>
      </c>
      <c r="B22" s="8" t="s">
        <v>54</v>
      </c>
      <c r="C22" s="8" t="s">
        <v>55</v>
      </c>
      <c r="D22" s="9">
        <v>15000</v>
      </c>
      <c r="E22" s="8"/>
    </row>
    <row r="23" spans="1:5" x14ac:dyDescent="0.25">
      <c r="A23" s="8" t="s">
        <v>42</v>
      </c>
      <c r="B23" s="8" t="s">
        <v>56</v>
      </c>
      <c r="C23" s="8" t="s">
        <v>57</v>
      </c>
      <c r="D23" s="9">
        <v>0.08</v>
      </c>
      <c r="E23" s="8"/>
    </row>
    <row r="24" spans="1:5" x14ac:dyDescent="0.25">
      <c r="A24" s="8" t="s">
        <v>42</v>
      </c>
      <c r="B24" s="8" t="s">
        <v>58</v>
      </c>
      <c r="C24" s="8" t="s">
        <v>59</v>
      </c>
      <c r="D24" s="9">
        <v>20000</v>
      </c>
      <c r="E24" s="8"/>
    </row>
    <row r="25" spans="1:5" x14ac:dyDescent="0.25">
      <c r="A25" s="8" t="s">
        <v>42</v>
      </c>
      <c r="B25" s="8" t="s">
        <v>60</v>
      </c>
      <c r="C25" s="8" t="s">
        <v>61</v>
      </c>
      <c r="D25" s="9">
        <v>0.06</v>
      </c>
      <c r="E25" s="8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26"/>
  <sheetViews>
    <sheetView workbookViewId="0">
      <pane ySplit="1" topLeftCell="A2" activePane="bottomLeft" state="frozen"/>
      <selection pane="bottomLeft" activeCell="K4" sqref="K4"/>
    </sheetView>
  </sheetViews>
  <sheetFormatPr baseColWidth="10" defaultColWidth="8.83203125" defaultRowHeight="15" x14ac:dyDescent="0.2"/>
  <cols>
    <col min="2" max="2" width="19.33203125" customWidth="1"/>
    <col min="3" max="3" width="24.6640625" customWidth="1"/>
    <col min="4" max="4" width="20" customWidth="1"/>
    <col min="5" max="5" width="19.83203125" customWidth="1"/>
    <col min="6" max="7" width="22.83203125" customWidth="1"/>
    <col min="8" max="8" width="21" customWidth="1"/>
    <col min="9" max="9" width="21.33203125" customWidth="1"/>
    <col min="10" max="10" width="20.6640625" customWidth="1"/>
    <col min="11" max="11" width="20.83203125" customWidth="1"/>
    <col min="12" max="13" width="18.5" customWidth="1"/>
  </cols>
  <sheetData>
    <row r="1" spans="1:13" x14ac:dyDescent="0.2">
      <c r="A1" s="2" t="s">
        <v>62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</row>
    <row r="2" spans="1:13" x14ac:dyDescent="0.2">
      <c r="A2" s="3">
        <f>StartYear+0</f>
        <v>2025</v>
      </c>
      <c r="B2" s="4">
        <f>FacultyFTE*HoursPerWeek*WeeksPerYear*RatePerHour*(1+PracticeGrowth)^0</f>
        <v>288000</v>
      </c>
      <c r="C2" s="4">
        <f>StudentsY1*(1+StudentGrowth)^0*CreditsPerStudent*TuitionPerCredit</f>
        <v>1800000</v>
      </c>
      <c r="D2" s="4">
        <f>SimRevY1*(1+SimGrowth)^0</f>
        <v>50000</v>
      </c>
      <c r="E2" s="4">
        <f>FacDevRevY1*(1+FacDevGrowth)^0</f>
        <v>25000</v>
      </c>
      <c r="F2" s="4">
        <f t="shared" ref="F2:F65" si="0">C2+D2+E2</f>
        <v>1875000</v>
      </c>
      <c r="G2" s="4">
        <f t="shared" ref="G2:G65" si="1">B2+F2</f>
        <v>2163000</v>
      </c>
      <c r="H2" s="4">
        <f>SalaryFTECount*SalaryPerFTE*(1+SalaryGrowth)^0</f>
        <v>210000</v>
      </c>
      <c r="I2" s="4">
        <f>SimOpsY1*(1+SimOpsGrowth)^0</f>
        <v>30000</v>
      </c>
      <c r="J2" s="4">
        <f>TrainDevY1*(1+TrainDevGrowth)^0</f>
        <v>15000</v>
      </c>
      <c r="K2" s="4">
        <f>AdminY1*(1+AdminGrowth)^0</f>
        <v>20000</v>
      </c>
      <c r="L2" s="4">
        <f t="shared" ref="L2:L65" si="2">SUM(H2:K2)</f>
        <v>275000</v>
      </c>
      <c r="M2" s="4">
        <f t="shared" ref="M2:M65" si="3">G2-L2</f>
        <v>1888000</v>
      </c>
    </row>
    <row r="3" spans="1:13" x14ac:dyDescent="0.2">
      <c r="A3" s="3">
        <f>StartYear+1</f>
        <v>2026</v>
      </c>
      <c r="B3" s="4">
        <f>FacultyFTE*HoursPerWeek*WeeksPerYear*RatePerHour*(1+PracticeGrowth)^1</f>
        <v>302400</v>
      </c>
      <c r="C3" s="4">
        <f>StudentsY1*(1+StudentGrowth)^1*CreditsPerStudent*TuitionPerCredit</f>
        <v>1890000</v>
      </c>
      <c r="D3" s="4">
        <f>SimRevY1*(1+SimGrowth)^1</f>
        <v>55000.000000000007</v>
      </c>
      <c r="E3" s="4">
        <f>FacDevRevY1*(1+FacDevGrowth)^1</f>
        <v>27500.000000000004</v>
      </c>
      <c r="F3" s="4">
        <f t="shared" si="0"/>
        <v>1972500</v>
      </c>
      <c r="G3" s="4">
        <f t="shared" si="1"/>
        <v>2274900</v>
      </c>
      <c r="H3" s="4">
        <f>SalaryFTECount*SalaryPerFTE*(1+SalaryGrowth)^1</f>
        <v>218400</v>
      </c>
      <c r="I3" s="4">
        <f>SimOpsY1*(1+SimOpsGrowth)^1</f>
        <v>32400.000000000004</v>
      </c>
      <c r="J3" s="4">
        <f>TrainDevY1*(1+TrainDevGrowth)^1</f>
        <v>16200.000000000002</v>
      </c>
      <c r="K3" s="4">
        <f>AdminY1*(1+AdminGrowth)^1</f>
        <v>21200</v>
      </c>
      <c r="L3" s="4">
        <f t="shared" si="2"/>
        <v>288200</v>
      </c>
      <c r="M3" s="4">
        <f t="shared" si="3"/>
        <v>1986700</v>
      </c>
    </row>
    <row r="4" spans="1:13" x14ac:dyDescent="0.2">
      <c r="A4" s="3">
        <f>StartYear+2</f>
        <v>2027</v>
      </c>
      <c r="B4" s="4">
        <f>FacultyFTE*HoursPerWeek*WeeksPerYear*RatePerHour*(1+PracticeGrowth)^2</f>
        <v>317520</v>
      </c>
      <c r="C4" s="4">
        <f>StudentsY1*(1+StudentGrowth)^2*CreditsPerStudent*TuitionPerCredit</f>
        <v>1984500</v>
      </c>
      <c r="D4" s="4">
        <f>SimRevY1*(1+SimGrowth)^2</f>
        <v>60500.000000000007</v>
      </c>
      <c r="E4" s="4">
        <f>FacDevRevY1*(1+FacDevGrowth)^2</f>
        <v>30250.000000000004</v>
      </c>
      <c r="F4" s="4">
        <f t="shared" si="0"/>
        <v>2075250</v>
      </c>
      <c r="G4" s="4">
        <f t="shared" si="1"/>
        <v>2392770</v>
      </c>
      <c r="H4" s="4">
        <f>SalaryFTECount*SalaryPerFTE*(1+SalaryGrowth)^2</f>
        <v>227136.00000000003</v>
      </c>
      <c r="I4" s="4">
        <f>SimOpsY1*(1+SimOpsGrowth)^2</f>
        <v>34992</v>
      </c>
      <c r="J4" s="4">
        <f>TrainDevY1*(1+TrainDevGrowth)^2</f>
        <v>17496</v>
      </c>
      <c r="K4" s="4">
        <f>AdminY1*(1+AdminGrowth)^2</f>
        <v>22472.000000000004</v>
      </c>
      <c r="L4" s="4">
        <f t="shared" si="2"/>
        <v>302096</v>
      </c>
      <c r="M4" s="4">
        <f t="shared" si="3"/>
        <v>2090674</v>
      </c>
    </row>
    <row r="5" spans="1:13" x14ac:dyDescent="0.2">
      <c r="A5" s="3">
        <f>StartYear+3</f>
        <v>2028</v>
      </c>
      <c r="B5" s="4">
        <f>FacultyFTE*HoursPerWeek*WeeksPerYear*RatePerHour*(1+PracticeGrowth)^3</f>
        <v>333396.00000000006</v>
      </c>
      <c r="C5" s="4">
        <f>StudentsY1*(1+StudentGrowth)^3*CreditsPerStudent*TuitionPerCredit</f>
        <v>2083725.0000000002</v>
      </c>
      <c r="D5" s="4">
        <f>SimRevY1*(1+SimGrowth)^3</f>
        <v>66550.000000000015</v>
      </c>
      <c r="E5" s="4">
        <f>FacDevRevY1*(1+FacDevGrowth)^3</f>
        <v>33275.000000000007</v>
      </c>
      <c r="F5" s="4">
        <f t="shared" si="0"/>
        <v>2183550.0000000005</v>
      </c>
      <c r="G5" s="4">
        <f t="shared" si="1"/>
        <v>2516946.0000000005</v>
      </c>
      <c r="H5" s="4">
        <f>SalaryFTECount*SalaryPerFTE*(1+SalaryGrowth)^3</f>
        <v>236221.44000000003</v>
      </c>
      <c r="I5" s="4">
        <f>SimOpsY1*(1+SimOpsGrowth)^3</f>
        <v>37791.360000000008</v>
      </c>
      <c r="J5" s="4">
        <f>TrainDevY1*(1+TrainDevGrowth)^3</f>
        <v>18895.680000000004</v>
      </c>
      <c r="K5" s="4">
        <f>AdminY1*(1+AdminGrowth)^3</f>
        <v>23820.320000000007</v>
      </c>
      <c r="L5" s="4">
        <f t="shared" si="2"/>
        <v>316728.80000000005</v>
      </c>
      <c r="M5" s="4">
        <f t="shared" si="3"/>
        <v>2200217.2000000002</v>
      </c>
    </row>
    <row r="6" spans="1:13" x14ac:dyDescent="0.2">
      <c r="A6" s="3">
        <f>StartYear+4</f>
        <v>2029</v>
      </c>
      <c r="B6" s="4">
        <f>FacultyFTE*HoursPerWeek*WeeksPerYear*RatePerHour*(1+PracticeGrowth)^4</f>
        <v>350065.8</v>
      </c>
      <c r="C6" s="4">
        <f>StudentsY1*(1+StudentGrowth)^4*CreditsPerStudent*TuitionPerCredit</f>
        <v>2187911.25</v>
      </c>
      <c r="D6" s="4">
        <f>SimRevY1*(1+SimGrowth)^4</f>
        <v>73205.000000000015</v>
      </c>
      <c r="E6" s="4">
        <f>FacDevRevY1*(1+FacDevGrowth)^4</f>
        <v>36602.500000000007</v>
      </c>
      <c r="F6" s="4">
        <f t="shared" si="0"/>
        <v>2297718.75</v>
      </c>
      <c r="G6" s="4">
        <f t="shared" si="1"/>
        <v>2647784.5499999998</v>
      </c>
      <c r="H6" s="4">
        <f>SalaryFTECount*SalaryPerFTE*(1+SalaryGrowth)^4</f>
        <v>245670.29760000005</v>
      </c>
      <c r="I6" s="4">
        <f>SimOpsY1*(1+SimOpsGrowth)^4</f>
        <v>40814.668800000007</v>
      </c>
      <c r="J6" s="4">
        <f>TrainDevY1*(1+TrainDevGrowth)^4</f>
        <v>20407.334400000003</v>
      </c>
      <c r="K6" s="4">
        <f>AdminY1*(1+AdminGrowth)^4</f>
        <v>25249.539200000007</v>
      </c>
      <c r="L6" s="4">
        <f t="shared" si="2"/>
        <v>332141.84000000003</v>
      </c>
      <c r="M6" s="4">
        <f t="shared" si="3"/>
        <v>2315642.71</v>
      </c>
    </row>
    <row r="7" spans="1:13" x14ac:dyDescent="0.2">
      <c r="A7" s="3">
        <f>StartYear+5</f>
        <v>2030</v>
      </c>
      <c r="B7" s="4">
        <f>FacultyFTE*HoursPerWeek*WeeksPerYear*RatePerHour*(1+PracticeGrowth)^5</f>
        <v>367569.09</v>
      </c>
      <c r="C7" s="4">
        <f>StudentsY1*(1+StudentGrowth)^5*CreditsPerStudent*TuitionPerCredit</f>
        <v>2297306.8125000005</v>
      </c>
      <c r="D7" s="4">
        <f>SimRevY1*(1+SimGrowth)^5</f>
        <v>80525.500000000029</v>
      </c>
      <c r="E7" s="4">
        <f>FacDevRevY1*(1+FacDevGrowth)^5</f>
        <v>40262.750000000015</v>
      </c>
      <c r="F7" s="4">
        <f t="shared" si="0"/>
        <v>2418095.0625000005</v>
      </c>
      <c r="G7" s="4">
        <f t="shared" si="1"/>
        <v>2785664.1525000003</v>
      </c>
      <c r="H7" s="4">
        <f>SalaryFTECount*SalaryPerFTE*(1+SalaryGrowth)^5</f>
        <v>255497.10950400008</v>
      </c>
      <c r="I7" s="4">
        <f>SimOpsY1*(1+SimOpsGrowth)^5</f>
        <v>44079.842304000013</v>
      </c>
      <c r="J7" s="4">
        <f>TrainDevY1*(1+TrainDevGrowth)^5</f>
        <v>22039.921152000006</v>
      </c>
      <c r="K7" s="4">
        <f>AdminY1*(1+AdminGrowth)^5</f>
        <v>26764.511552000011</v>
      </c>
      <c r="L7" s="4">
        <f t="shared" si="2"/>
        <v>348381.38451200014</v>
      </c>
      <c r="M7" s="4">
        <f t="shared" si="3"/>
        <v>2437282.7679880001</v>
      </c>
    </row>
    <row r="8" spans="1:13" x14ac:dyDescent="0.2">
      <c r="A8" s="3">
        <f>StartYear+6</f>
        <v>2031</v>
      </c>
      <c r="B8" s="4">
        <f>FacultyFTE*HoursPerWeek*WeeksPerYear*RatePerHour*(1+PracticeGrowth)^6</f>
        <v>385947.54450000002</v>
      </c>
      <c r="C8" s="4">
        <f>StudentsY1*(1+StudentGrowth)^6*CreditsPerStudent*TuitionPerCredit</f>
        <v>2412172.1531250002</v>
      </c>
      <c r="D8" s="4">
        <f>SimRevY1*(1+SimGrowth)^6</f>
        <v>88578.050000000047</v>
      </c>
      <c r="E8" s="4">
        <f>FacDevRevY1*(1+FacDevGrowth)^6</f>
        <v>44289.025000000023</v>
      </c>
      <c r="F8" s="4">
        <f t="shared" si="0"/>
        <v>2545039.2281249999</v>
      </c>
      <c r="G8" s="4">
        <f t="shared" si="1"/>
        <v>2930986.7726249998</v>
      </c>
      <c r="H8" s="4">
        <f>SalaryFTECount*SalaryPerFTE*(1+SalaryGrowth)^6</f>
        <v>265716.99388416007</v>
      </c>
      <c r="I8" s="4">
        <f>SimOpsY1*(1+SimOpsGrowth)^6</f>
        <v>47606.229688320018</v>
      </c>
      <c r="J8" s="4">
        <f>TrainDevY1*(1+TrainDevGrowth)^6</f>
        <v>23803.114844160009</v>
      </c>
      <c r="K8" s="4">
        <f>AdminY1*(1+AdminGrowth)^6</f>
        <v>28370.38224512001</v>
      </c>
      <c r="L8" s="4">
        <f t="shared" si="2"/>
        <v>365496.72066176008</v>
      </c>
      <c r="M8" s="4">
        <f t="shared" si="3"/>
        <v>2565490.0519632399</v>
      </c>
    </row>
    <row r="9" spans="1:13" x14ac:dyDescent="0.2">
      <c r="A9" s="3">
        <f>StartYear+7</f>
        <v>2032</v>
      </c>
      <c r="B9" s="4">
        <f>FacultyFTE*HoursPerWeek*WeeksPerYear*RatePerHour*(1+PracticeGrowth)^7</f>
        <v>405244.92172500008</v>
      </c>
      <c r="C9" s="4">
        <f>StudentsY1*(1+StudentGrowth)^7*CreditsPerStudent*TuitionPerCredit</f>
        <v>2532780.7607812504</v>
      </c>
      <c r="D9" s="4">
        <f>SimRevY1*(1+SimGrowth)^7</f>
        <v>97435.855000000054</v>
      </c>
      <c r="E9" s="4">
        <f>FacDevRevY1*(1+FacDevGrowth)^7</f>
        <v>48717.927500000027</v>
      </c>
      <c r="F9" s="4">
        <f t="shared" si="0"/>
        <v>2678934.5432812506</v>
      </c>
      <c r="G9" s="4">
        <f t="shared" si="1"/>
        <v>3084179.4650062509</v>
      </c>
      <c r="H9" s="4">
        <f>SalaryFTECount*SalaryPerFTE*(1+SalaryGrowth)^7</f>
        <v>276345.67363952647</v>
      </c>
      <c r="I9" s="4">
        <f>SimOpsY1*(1+SimOpsGrowth)^7</f>
        <v>51414.728063385621</v>
      </c>
      <c r="J9" s="4">
        <f>TrainDevY1*(1+TrainDevGrowth)^7</f>
        <v>25707.36403169281</v>
      </c>
      <c r="K9" s="4">
        <f>AdminY1*(1+AdminGrowth)^7</f>
        <v>30072.605179827216</v>
      </c>
      <c r="L9" s="4">
        <f t="shared" si="2"/>
        <v>383540.3709144321</v>
      </c>
      <c r="M9" s="4">
        <f t="shared" si="3"/>
        <v>2700639.0940918187</v>
      </c>
    </row>
    <row r="10" spans="1:13" x14ac:dyDescent="0.2">
      <c r="A10" s="3">
        <f>StartYear+8</f>
        <v>2033</v>
      </c>
      <c r="B10" s="4">
        <f>FacultyFTE*HoursPerWeek*WeeksPerYear*RatePerHour*(1+PracticeGrowth)^8</f>
        <v>425507.16781125002</v>
      </c>
      <c r="C10" s="4">
        <f>StudentsY1*(1+StudentGrowth)^8*CreditsPerStudent*TuitionPerCredit</f>
        <v>2659419.7988203126</v>
      </c>
      <c r="D10" s="4">
        <f>SimRevY1*(1+SimGrowth)^8</f>
        <v>107179.44050000006</v>
      </c>
      <c r="E10" s="4">
        <f>FacDevRevY1*(1+FacDevGrowth)^8</f>
        <v>53589.720250000028</v>
      </c>
      <c r="F10" s="4">
        <f t="shared" si="0"/>
        <v>2820188.9595703129</v>
      </c>
      <c r="G10" s="4">
        <f t="shared" si="1"/>
        <v>3245696.1273815627</v>
      </c>
      <c r="H10" s="4">
        <f>SalaryFTECount*SalaryPerFTE*(1+SalaryGrowth)^8</f>
        <v>287399.50058510754</v>
      </c>
      <c r="I10" s="4">
        <f>SimOpsY1*(1+SimOpsGrowth)^8</f>
        <v>55527.90630845647</v>
      </c>
      <c r="J10" s="4">
        <f>TrainDevY1*(1+TrainDevGrowth)^8</f>
        <v>27763.953154228235</v>
      </c>
      <c r="K10" s="4">
        <f>AdminY1*(1+AdminGrowth)^8</f>
        <v>31876.961490616846</v>
      </c>
      <c r="L10" s="4">
        <f t="shared" si="2"/>
        <v>402568.3215384091</v>
      </c>
      <c r="M10" s="4">
        <f t="shared" si="3"/>
        <v>2843127.8058431535</v>
      </c>
    </row>
    <row r="11" spans="1:13" x14ac:dyDescent="0.2">
      <c r="A11" s="3">
        <f>StartYear+9</f>
        <v>2034</v>
      </c>
      <c r="B11" s="4">
        <f>FacultyFTE*HoursPerWeek*WeeksPerYear*RatePerHour*(1+PracticeGrowth)^9</f>
        <v>446782.52620181255</v>
      </c>
      <c r="C11" s="4">
        <f>StudentsY1*(1+StudentGrowth)^9*CreditsPerStudent*TuitionPerCredit</f>
        <v>2792390.7887613284</v>
      </c>
      <c r="D11" s="4">
        <f>SimRevY1*(1+SimGrowth)^9</f>
        <v>117897.38455000008</v>
      </c>
      <c r="E11" s="4">
        <f>FacDevRevY1*(1+FacDevGrowth)^9</f>
        <v>58948.692275000038</v>
      </c>
      <c r="F11" s="4">
        <f t="shared" si="0"/>
        <v>2969236.8655863283</v>
      </c>
      <c r="G11" s="4">
        <f t="shared" si="1"/>
        <v>3416019.3917881409</v>
      </c>
      <c r="H11" s="4">
        <f>SalaryFTECount*SalaryPerFTE*(1+SalaryGrowth)^9</f>
        <v>298895.48060851189</v>
      </c>
      <c r="I11" s="4">
        <f>SimOpsY1*(1+SimOpsGrowth)^9</f>
        <v>59970.138813132995</v>
      </c>
      <c r="J11" s="4">
        <f>TrainDevY1*(1+TrainDevGrowth)^9</f>
        <v>29985.069406566497</v>
      </c>
      <c r="K11" s="4">
        <f>AdminY1*(1+AdminGrowth)^9</f>
        <v>33789.579180053857</v>
      </c>
      <c r="L11" s="4">
        <f t="shared" si="2"/>
        <v>422640.26800826524</v>
      </c>
      <c r="M11" s="4">
        <f t="shared" si="3"/>
        <v>2993379.1237798757</v>
      </c>
    </row>
    <row r="12" spans="1:13" x14ac:dyDescent="0.2">
      <c r="A12" s="3">
        <f>StartYear+10</f>
        <v>2035</v>
      </c>
      <c r="B12" s="4">
        <f>FacultyFTE*HoursPerWeek*WeeksPerYear*RatePerHour*(1+PracticeGrowth)^10</f>
        <v>469121.65251190314</v>
      </c>
      <c r="C12" s="4">
        <f>StudentsY1*(1+StudentGrowth)^10*CreditsPerStudent*TuitionPerCredit</f>
        <v>2932010.3281993945</v>
      </c>
      <c r="D12" s="4">
        <f>SimRevY1*(1+SimGrowth)^10</f>
        <v>129687.12300500009</v>
      </c>
      <c r="E12" s="4">
        <f>FacDevRevY1*(1+FacDevGrowth)^10</f>
        <v>64843.561502500044</v>
      </c>
      <c r="F12" s="4">
        <f t="shared" si="0"/>
        <v>3126541.0127068944</v>
      </c>
      <c r="G12" s="4">
        <f t="shared" si="1"/>
        <v>3595662.6652187975</v>
      </c>
      <c r="H12" s="4">
        <f>SalaryFTECount*SalaryPerFTE*(1+SalaryGrowth)^10</f>
        <v>310851.29983285238</v>
      </c>
      <c r="I12" s="4">
        <f>SimOpsY1*(1+SimOpsGrowth)^10</f>
        <v>64767.749918183632</v>
      </c>
      <c r="J12" s="4">
        <f>TrainDevY1*(1+TrainDevGrowth)^10</f>
        <v>32383.874959091816</v>
      </c>
      <c r="K12" s="4">
        <f>AdminY1*(1+AdminGrowth)^10</f>
        <v>35816.953930857089</v>
      </c>
      <c r="L12" s="4">
        <f t="shared" si="2"/>
        <v>443819.87864098488</v>
      </c>
      <c r="M12" s="4">
        <f t="shared" si="3"/>
        <v>3151842.7865778124</v>
      </c>
    </row>
    <row r="13" spans="1:13" x14ac:dyDescent="0.2">
      <c r="A13" s="3">
        <f>StartYear+11</f>
        <v>2036</v>
      </c>
      <c r="B13" s="4">
        <f>FacultyFTE*HoursPerWeek*WeeksPerYear*RatePerHour*(1+PracticeGrowth)^11</f>
        <v>492577.73513749836</v>
      </c>
      <c r="C13" s="4">
        <f>StudentsY1*(1+StudentGrowth)^11*CreditsPerStudent*TuitionPerCredit</f>
        <v>3078610.8446093649</v>
      </c>
      <c r="D13" s="4">
        <f>SimRevY1*(1+SimGrowth)^11</f>
        <v>142655.83530550014</v>
      </c>
      <c r="E13" s="4">
        <f>FacDevRevY1*(1+FacDevGrowth)^11</f>
        <v>71327.917652750068</v>
      </c>
      <c r="F13" s="4">
        <f t="shared" si="0"/>
        <v>3292594.5975676151</v>
      </c>
      <c r="G13" s="4">
        <f t="shared" si="1"/>
        <v>3785172.3327051136</v>
      </c>
      <c r="H13" s="4">
        <f>SalaryFTECount*SalaryPerFTE*(1+SalaryGrowth)^11</f>
        <v>323285.35182616644</v>
      </c>
      <c r="I13" s="4">
        <f>SimOpsY1*(1+SimOpsGrowth)^11</f>
        <v>69949.169911638324</v>
      </c>
      <c r="J13" s="4">
        <f>TrainDevY1*(1+TrainDevGrowth)^11</f>
        <v>34974.584955819162</v>
      </c>
      <c r="K13" s="4">
        <f>AdminY1*(1+AdminGrowth)^11</f>
        <v>37965.971166708521</v>
      </c>
      <c r="L13" s="4">
        <f t="shared" si="2"/>
        <v>466175.07786033244</v>
      </c>
      <c r="M13" s="4">
        <f t="shared" si="3"/>
        <v>3318997.254844781</v>
      </c>
    </row>
    <row r="14" spans="1:13" x14ac:dyDescent="0.2">
      <c r="A14" s="3">
        <f>StartYear+12</f>
        <v>2037</v>
      </c>
      <c r="B14" s="4">
        <f>FacultyFTE*HoursPerWeek*WeeksPerYear*RatePerHour*(1+PracticeGrowth)^12</f>
        <v>517206.62189437321</v>
      </c>
      <c r="C14" s="4">
        <f>StudentsY1*(1+StudentGrowth)^12*CreditsPerStudent*TuitionPerCredit</f>
        <v>3232541.3868398322</v>
      </c>
      <c r="D14" s="4">
        <f>SimRevY1*(1+SimGrowth)^12</f>
        <v>156921.41883605014</v>
      </c>
      <c r="E14" s="4">
        <f>FacDevRevY1*(1+FacDevGrowth)^12</f>
        <v>78460.709418025071</v>
      </c>
      <c r="F14" s="4">
        <f t="shared" si="0"/>
        <v>3467923.5150939072</v>
      </c>
      <c r="G14" s="4">
        <f t="shared" si="1"/>
        <v>3985130.1369882803</v>
      </c>
      <c r="H14" s="4">
        <f>SalaryFTECount*SalaryPerFTE*(1+SalaryGrowth)^12</f>
        <v>336216.76589921315</v>
      </c>
      <c r="I14" s="4">
        <f>SimOpsY1*(1+SimOpsGrowth)^12</f>
        <v>75545.103504569401</v>
      </c>
      <c r="J14" s="4">
        <f>TrainDevY1*(1+TrainDevGrowth)^12</f>
        <v>37772.5517522847</v>
      </c>
      <c r="K14" s="4">
        <f>AdminY1*(1+AdminGrowth)^12</f>
        <v>40243.929436711034</v>
      </c>
      <c r="L14" s="4">
        <f t="shared" si="2"/>
        <v>489778.35059277824</v>
      </c>
      <c r="M14" s="4">
        <f t="shared" si="3"/>
        <v>3495351.7863955023</v>
      </c>
    </row>
    <row r="15" spans="1:13" x14ac:dyDescent="0.2">
      <c r="A15" s="3">
        <f>StartYear+13</f>
        <v>2038</v>
      </c>
      <c r="B15" s="4">
        <f>FacultyFTE*HoursPerWeek*WeeksPerYear*RatePerHour*(1+PracticeGrowth)^13</f>
        <v>543066.95298909198</v>
      </c>
      <c r="C15" s="4">
        <f>StudentsY1*(1+StudentGrowth)^13*CreditsPerStudent*TuitionPerCredit</f>
        <v>3394168.4561818247</v>
      </c>
      <c r="D15" s="4">
        <f>SimRevY1*(1+SimGrowth)^13</f>
        <v>172613.56071965516</v>
      </c>
      <c r="E15" s="4">
        <f>FacDevRevY1*(1+FacDevGrowth)^13</f>
        <v>86306.780359827579</v>
      </c>
      <c r="F15" s="4">
        <f t="shared" si="0"/>
        <v>3653088.7972613075</v>
      </c>
      <c r="G15" s="4">
        <f t="shared" si="1"/>
        <v>4196155.7502503991</v>
      </c>
      <c r="H15" s="4">
        <f>SalaryFTECount*SalaryPerFTE*(1+SalaryGrowth)^13</f>
        <v>349665.43653518171</v>
      </c>
      <c r="I15" s="4">
        <f>SimOpsY1*(1+SimOpsGrowth)^13</f>
        <v>81588.711784934945</v>
      </c>
      <c r="J15" s="4">
        <f>TrainDevY1*(1+TrainDevGrowth)^13</f>
        <v>40794.355892467473</v>
      </c>
      <c r="K15" s="4">
        <f>AdminY1*(1+AdminGrowth)^13</f>
        <v>42658.565202913705</v>
      </c>
      <c r="L15" s="4">
        <f t="shared" si="2"/>
        <v>514707.06941549788</v>
      </c>
      <c r="M15" s="4">
        <f t="shared" si="3"/>
        <v>3681448.6808349011</v>
      </c>
    </row>
    <row r="16" spans="1:13" x14ac:dyDescent="0.2">
      <c r="A16" s="3">
        <f>StartYear+14</f>
        <v>2039</v>
      </c>
      <c r="B16" s="4">
        <f>FacultyFTE*HoursPerWeek*WeeksPerYear*RatePerHour*(1+PracticeGrowth)^14</f>
        <v>570220.30063854647</v>
      </c>
      <c r="C16" s="4">
        <f>StudentsY1*(1+StudentGrowth)^14*CreditsPerStudent*TuitionPerCredit</f>
        <v>3563876.8789909151</v>
      </c>
      <c r="D16" s="4">
        <f>SimRevY1*(1+SimGrowth)^14</f>
        <v>189874.91679162069</v>
      </c>
      <c r="E16" s="4">
        <f>FacDevRevY1*(1+FacDevGrowth)^14</f>
        <v>94937.458395810347</v>
      </c>
      <c r="F16" s="4">
        <f t="shared" si="0"/>
        <v>3848689.2541783461</v>
      </c>
      <c r="G16" s="4">
        <f t="shared" si="1"/>
        <v>4418909.5548168924</v>
      </c>
      <c r="H16" s="4">
        <f>SalaryFTECount*SalaryPerFTE*(1+SalaryGrowth)^14</f>
        <v>363652.05399658898</v>
      </c>
      <c r="I16" s="4">
        <f>SimOpsY1*(1+SimOpsGrowth)^14</f>
        <v>88115.80872772976</v>
      </c>
      <c r="J16" s="4">
        <f>TrainDevY1*(1+TrainDevGrowth)^14</f>
        <v>44057.90436386488</v>
      </c>
      <c r="K16" s="4">
        <f>AdminY1*(1+AdminGrowth)^14</f>
        <v>45218.07911508852</v>
      </c>
      <c r="L16" s="4">
        <f t="shared" si="2"/>
        <v>541043.84620327211</v>
      </c>
      <c r="M16" s="4">
        <f t="shared" si="3"/>
        <v>3877865.7086136201</v>
      </c>
    </row>
    <row r="17" spans="1:13" x14ac:dyDescent="0.2">
      <c r="A17" s="3">
        <f>StartYear+15</f>
        <v>2040</v>
      </c>
      <c r="B17" s="4">
        <f>FacultyFTE*HoursPerWeek*WeeksPerYear*RatePerHour*(1+PracticeGrowth)^15</f>
        <v>598731.31567047397</v>
      </c>
      <c r="C17" s="4">
        <f>StudentsY1*(1+StudentGrowth)^15*CreditsPerStudent*TuitionPerCredit</f>
        <v>3742070.7229404622</v>
      </c>
      <c r="D17" s="4">
        <f>SimRevY1*(1+SimGrowth)^15</f>
        <v>208862.40847078277</v>
      </c>
      <c r="E17" s="4">
        <f>FacDevRevY1*(1+FacDevGrowth)^15</f>
        <v>104431.20423539139</v>
      </c>
      <c r="F17" s="4">
        <f t="shared" si="0"/>
        <v>4055364.3356466363</v>
      </c>
      <c r="G17" s="4">
        <f t="shared" si="1"/>
        <v>4654095.6513171103</v>
      </c>
      <c r="H17" s="4">
        <f>SalaryFTECount*SalaryPerFTE*(1+SalaryGrowth)^15</f>
        <v>378198.13615645253</v>
      </c>
      <c r="I17" s="4">
        <f>SimOpsY1*(1+SimOpsGrowth)^15</f>
        <v>95165.07342594814</v>
      </c>
      <c r="J17" s="4">
        <f>TrainDevY1*(1+TrainDevGrowth)^15</f>
        <v>47582.53671297407</v>
      </c>
      <c r="K17" s="4">
        <f>AdminY1*(1+AdminGrowth)^15</f>
        <v>47931.163861993846</v>
      </c>
      <c r="L17" s="4">
        <f t="shared" si="2"/>
        <v>568876.91015736863</v>
      </c>
      <c r="M17" s="4">
        <f t="shared" si="3"/>
        <v>4085218.7411597418</v>
      </c>
    </row>
    <row r="18" spans="1:13" x14ac:dyDescent="0.2">
      <c r="A18" s="3">
        <f>StartYear+16</f>
        <v>2041</v>
      </c>
      <c r="B18" s="4">
        <f>FacultyFTE*HoursPerWeek*WeeksPerYear*RatePerHour*(1+PracticeGrowth)^16</f>
        <v>628667.88145399757</v>
      </c>
      <c r="C18" s="4">
        <f>StudentsY1*(1+StudentGrowth)^16*CreditsPerStudent*TuitionPerCredit</f>
        <v>3929174.2590874848</v>
      </c>
      <c r="D18" s="4">
        <f>SimRevY1*(1+SimGrowth)^16</f>
        <v>229748.64931786104</v>
      </c>
      <c r="E18" s="4">
        <f>FacDevRevY1*(1+FacDevGrowth)^16</f>
        <v>114874.32465893052</v>
      </c>
      <c r="F18" s="4">
        <f t="shared" si="0"/>
        <v>4273797.2330642762</v>
      </c>
      <c r="G18" s="4">
        <f t="shared" si="1"/>
        <v>4902465.1145182736</v>
      </c>
      <c r="H18" s="4">
        <f>SalaryFTECount*SalaryPerFTE*(1+SalaryGrowth)^16</f>
        <v>393326.06160271069</v>
      </c>
      <c r="I18" s="4">
        <f>SimOpsY1*(1+SimOpsGrowth)^16</f>
        <v>102778.27930002399</v>
      </c>
      <c r="J18" s="4">
        <f>TrainDevY1*(1+TrainDevGrowth)^16</f>
        <v>51389.139650011995</v>
      </c>
      <c r="K18" s="4">
        <f>AdminY1*(1+AdminGrowth)^16</f>
        <v>50807.033693713463</v>
      </c>
      <c r="L18" s="4">
        <f t="shared" si="2"/>
        <v>598300.51424646017</v>
      </c>
      <c r="M18" s="4">
        <f t="shared" si="3"/>
        <v>4304164.6002718136</v>
      </c>
    </row>
    <row r="19" spans="1:13" x14ac:dyDescent="0.2">
      <c r="A19" s="3">
        <f>StartYear+17</f>
        <v>2042</v>
      </c>
      <c r="B19" s="4">
        <f>FacultyFTE*HoursPerWeek*WeeksPerYear*RatePerHour*(1+PracticeGrowth)^17</f>
        <v>660101.27552669751</v>
      </c>
      <c r="C19" s="4">
        <f>StudentsY1*(1+StudentGrowth)^17*CreditsPerStudent*TuitionPerCredit</f>
        <v>4125632.9720418593</v>
      </c>
      <c r="D19" s="4">
        <f>SimRevY1*(1+SimGrowth)^17</f>
        <v>252723.51424964715</v>
      </c>
      <c r="E19" s="4">
        <f>FacDevRevY1*(1+FacDevGrowth)^17</f>
        <v>126361.75712482358</v>
      </c>
      <c r="F19" s="4">
        <f t="shared" si="0"/>
        <v>4504718.2434163298</v>
      </c>
      <c r="G19" s="4">
        <f t="shared" si="1"/>
        <v>5164819.5189430276</v>
      </c>
      <c r="H19" s="4">
        <f>SalaryFTECount*SalaryPerFTE*(1+SalaryGrowth)^17</f>
        <v>409059.10406681913</v>
      </c>
      <c r="I19" s="4">
        <f>SimOpsY1*(1+SimOpsGrowth)^17</f>
        <v>111000.54164402591</v>
      </c>
      <c r="J19" s="4">
        <f>TrainDevY1*(1+TrainDevGrowth)^17</f>
        <v>55500.270822012957</v>
      </c>
      <c r="K19" s="4">
        <f>AdminY1*(1+AdminGrowth)^17</f>
        <v>53855.455715336277</v>
      </c>
      <c r="L19" s="4">
        <f t="shared" si="2"/>
        <v>629415.37224819418</v>
      </c>
      <c r="M19" s="4">
        <f t="shared" si="3"/>
        <v>4535404.1466948334</v>
      </c>
    </row>
    <row r="20" spans="1:13" x14ac:dyDescent="0.2">
      <c r="A20" s="3">
        <f>StartYear+18</f>
        <v>2043</v>
      </c>
      <c r="B20" s="4">
        <f>FacultyFTE*HoursPerWeek*WeeksPerYear*RatePerHour*(1+PracticeGrowth)^18</f>
        <v>693106.33930303238</v>
      </c>
      <c r="C20" s="4">
        <f>StudentsY1*(1+StudentGrowth)^18*CreditsPerStudent*TuitionPerCredit</f>
        <v>4331914.6206439529</v>
      </c>
      <c r="D20" s="4">
        <f>SimRevY1*(1+SimGrowth)^18</f>
        <v>277995.86567461188</v>
      </c>
      <c r="E20" s="4">
        <f>FacDevRevY1*(1+FacDevGrowth)^18</f>
        <v>138997.93283730594</v>
      </c>
      <c r="F20" s="4">
        <f t="shared" si="0"/>
        <v>4748908.4191558706</v>
      </c>
      <c r="G20" s="4">
        <f t="shared" si="1"/>
        <v>5442014.7584589031</v>
      </c>
      <c r="H20" s="4">
        <f>SalaryFTECount*SalaryPerFTE*(1+SalaryGrowth)^18</f>
        <v>425421.46822949196</v>
      </c>
      <c r="I20" s="4">
        <f>SimOpsY1*(1+SimOpsGrowth)^18</f>
        <v>119880.584975548</v>
      </c>
      <c r="J20" s="4">
        <f>TrainDevY1*(1+TrainDevGrowth)^18</f>
        <v>59940.292487774001</v>
      </c>
      <c r="K20" s="4">
        <f>AdminY1*(1+AdminGrowth)^18</f>
        <v>57086.783058256457</v>
      </c>
      <c r="L20" s="4">
        <f t="shared" si="2"/>
        <v>662329.12875107047</v>
      </c>
      <c r="M20" s="4">
        <f t="shared" si="3"/>
        <v>4779685.6297078328</v>
      </c>
    </row>
    <row r="21" spans="1:13" x14ac:dyDescent="0.2">
      <c r="A21" s="3">
        <f>StartYear+19</f>
        <v>2044</v>
      </c>
      <c r="B21" s="4">
        <f>FacultyFTE*HoursPerWeek*WeeksPerYear*RatePerHour*(1+PracticeGrowth)^19</f>
        <v>727761.65626818407</v>
      </c>
      <c r="C21" s="4">
        <f>StudentsY1*(1+StudentGrowth)^19*CreditsPerStudent*TuitionPerCredit</f>
        <v>4548510.3516761502</v>
      </c>
      <c r="D21" s="4">
        <f>SimRevY1*(1+SimGrowth)^19</f>
        <v>305795.45224207314</v>
      </c>
      <c r="E21" s="4">
        <f>FacDevRevY1*(1+FacDevGrowth)^19</f>
        <v>152897.72612103657</v>
      </c>
      <c r="F21" s="4">
        <f t="shared" si="0"/>
        <v>5007203.5300392602</v>
      </c>
      <c r="G21" s="4">
        <f t="shared" si="1"/>
        <v>5734965.1863074442</v>
      </c>
      <c r="H21" s="4">
        <f>SalaryFTECount*SalaryPerFTE*(1+SalaryGrowth)^19</f>
        <v>442438.32695867162</v>
      </c>
      <c r="I21" s="4">
        <f>SimOpsY1*(1+SimOpsGrowth)^19</f>
        <v>129471.03177359185</v>
      </c>
      <c r="J21" s="4">
        <f>TrainDevY1*(1+TrainDevGrowth)^19</f>
        <v>64735.515886795925</v>
      </c>
      <c r="K21" s="4">
        <f>AdminY1*(1+AdminGrowth)^19</f>
        <v>60511.990041751851</v>
      </c>
      <c r="L21" s="4">
        <f t="shared" si="2"/>
        <v>697156.86466081126</v>
      </c>
      <c r="M21" s="4">
        <f t="shared" si="3"/>
        <v>5037808.3216466326</v>
      </c>
    </row>
    <row r="22" spans="1:13" x14ac:dyDescent="0.2">
      <c r="A22" s="3">
        <f>StartYear+20</f>
        <v>2045</v>
      </c>
      <c r="B22" s="4">
        <f>FacultyFTE*HoursPerWeek*WeeksPerYear*RatePerHour*(1+PracticeGrowth)^20</f>
        <v>764149.73908159323</v>
      </c>
      <c r="C22" s="4">
        <f>StudentsY1*(1+StudentGrowth)^20*CreditsPerStudent*TuitionPerCredit</f>
        <v>4775935.8692599572</v>
      </c>
      <c r="D22" s="4">
        <f>SimRevY1*(1+SimGrowth)^20</f>
        <v>336374.99746628047</v>
      </c>
      <c r="E22" s="4">
        <f>FacDevRevY1*(1+FacDevGrowth)^20</f>
        <v>168187.49873314024</v>
      </c>
      <c r="F22" s="4">
        <f t="shared" si="0"/>
        <v>5280498.3654593779</v>
      </c>
      <c r="G22" s="4">
        <f t="shared" si="1"/>
        <v>6044648.1045409711</v>
      </c>
      <c r="H22" s="4">
        <f>SalaryFTECount*SalaryPerFTE*(1+SalaryGrowth)^20</f>
        <v>460135.86003701849</v>
      </c>
      <c r="I22" s="4">
        <f>SimOpsY1*(1+SimOpsGrowth)^20</f>
        <v>139828.71431547918</v>
      </c>
      <c r="J22" s="4">
        <f>TrainDevY1*(1+TrainDevGrowth)^20</f>
        <v>69914.357157739592</v>
      </c>
      <c r="K22" s="4">
        <f>AdminY1*(1+AdminGrowth)^20</f>
        <v>64142.709444256958</v>
      </c>
      <c r="L22" s="4">
        <f t="shared" si="2"/>
        <v>734021.64095449424</v>
      </c>
      <c r="M22" s="4">
        <f t="shared" si="3"/>
        <v>5310626.4635864766</v>
      </c>
    </row>
    <row r="23" spans="1:13" x14ac:dyDescent="0.2">
      <c r="A23" s="3">
        <f>StartYear+21</f>
        <v>2046</v>
      </c>
      <c r="B23" s="4">
        <f>FacultyFTE*HoursPerWeek*WeeksPerYear*RatePerHour*(1+PracticeGrowth)^21</f>
        <v>802357.22603567282</v>
      </c>
      <c r="C23" s="4">
        <f>StudentsY1*(1+StudentGrowth)^21*CreditsPerStudent*TuitionPerCredit</f>
        <v>5014732.6627229555</v>
      </c>
      <c r="D23" s="4">
        <f>SimRevY1*(1+SimGrowth)^21</f>
        <v>370012.49721290852</v>
      </c>
      <c r="E23" s="4">
        <f>FacDevRevY1*(1+FacDevGrowth)^21</f>
        <v>185006.24860645426</v>
      </c>
      <c r="F23" s="4">
        <f t="shared" si="0"/>
        <v>5569751.4085423183</v>
      </c>
      <c r="G23" s="4">
        <f t="shared" si="1"/>
        <v>6372108.6345779914</v>
      </c>
      <c r="H23" s="4">
        <f>SalaryFTECount*SalaryPerFTE*(1+SalaryGrowth)^21</f>
        <v>478541.29443849932</v>
      </c>
      <c r="I23" s="4">
        <f>SimOpsY1*(1+SimOpsGrowth)^21</f>
        <v>151015.01146071753</v>
      </c>
      <c r="J23" s="4">
        <f>TrainDevY1*(1+TrainDevGrowth)^21</f>
        <v>75507.505730358767</v>
      </c>
      <c r="K23" s="4">
        <f>AdminY1*(1+AdminGrowth)^21</f>
        <v>67991.272010912391</v>
      </c>
      <c r="L23" s="4">
        <f t="shared" si="2"/>
        <v>773055.08364048798</v>
      </c>
      <c r="M23" s="4">
        <f t="shared" si="3"/>
        <v>5599053.5509375036</v>
      </c>
    </row>
    <row r="24" spans="1:13" x14ac:dyDescent="0.2">
      <c r="A24" s="3">
        <f>StartYear+22</f>
        <v>2047</v>
      </c>
      <c r="B24" s="4">
        <f>FacultyFTE*HoursPerWeek*WeeksPerYear*RatePerHour*(1+PracticeGrowth)^22</f>
        <v>842475.08733745641</v>
      </c>
      <c r="C24" s="4">
        <f>StudentsY1*(1+StudentGrowth)^22*CreditsPerStudent*TuitionPerCredit</f>
        <v>5265469.2958591022</v>
      </c>
      <c r="D24" s="4">
        <f>SimRevY1*(1+SimGrowth)^22</f>
        <v>407013.74693419947</v>
      </c>
      <c r="E24" s="4">
        <f>FacDevRevY1*(1+FacDevGrowth)^22</f>
        <v>203506.87346709974</v>
      </c>
      <c r="F24" s="4">
        <f t="shared" si="0"/>
        <v>5875989.9162604017</v>
      </c>
      <c r="G24" s="4">
        <f t="shared" si="1"/>
        <v>6718465.0035978584</v>
      </c>
      <c r="H24" s="4">
        <f>SalaryFTECount*SalaryPerFTE*(1+SalaryGrowth)^22</f>
        <v>497682.94621603924</v>
      </c>
      <c r="I24" s="4">
        <f>SimOpsY1*(1+SimOpsGrowth)^22</f>
        <v>163096.21237757496</v>
      </c>
      <c r="J24" s="4">
        <f>TrainDevY1*(1+TrainDevGrowth)^22</f>
        <v>81548.106188787482</v>
      </c>
      <c r="K24" s="4">
        <f>AdminY1*(1+AdminGrowth)^22</f>
        <v>72070.748331567142</v>
      </c>
      <c r="L24" s="4">
        <f t="shared" si="2"/>
        <v>814398.01311396889</v>
      </c>
      <c r="M24" s="4">
        <f t="shared" si="3"/>
        <v>5904066.9904838894</v>
      </c>
    </row>
    <row r="25" spans="1:13" x14ac:dyDescent="0.2">
      <c r="A25" s="3">
        <f>StartYear+23</f>
        <v>2048</v>
      </c>
      <c r="B25" s="4">
        <f>FacultyFTE*HoursPerWeek*WeeksPerYear*RatePerHour*(1+PracticeGrowth)^23</f>
        <v>884598.84170432948</v>
      </c>
      <c r="C25" s="4">
        <f>StudentsY1*(1+StudentGrowth)^23*CreditsPerStudent*TuitionPerCredit</f>
        <v>5528742.7606520597</v>
      </c>
      <c r="D25" s="4">
        <f>SimRevY1*(1+SimGrowth)^23</f>
        <v>447715.12162761943</v>
      </c>
      <c r="E25" s="4">
        <f>FacDevRevY1*(1+FacDevGrowth)^23</f>
        <v>223857.56081380972</v>
      </c>
      <c r="F25" s="4">
        <f t="shared" si="0"/>
        <v>6200315.4430934889</v>
      </c>
      <c r="G25" s="4">
        <f t="shared" si="1"/>
        <v>7084914.2847978184</v>
      </c>
      <c r="H25" s="4">
        <f>SalaryFTECount*SalaryPerFTE*(1+SalaryGrowth)^23</f>
        <v>517590.26406468078</v>
      </c>
      <c r="I25" s="4">
        <f>SimOpsY1*(1+SimOpsGrowth)^23</f>
        <v>176143.90936778096</v>
      </c>
      <c r="J25" s="4">
        <f>TrainDevY1*(1+TrainDevGrowth)^23</f>
        <v>88071.954683890479</v>
      </c>
      <c r="K25" s="4">
        <f>AdminY1*(1+AdminGrowth)^23</f>
        <v>76394.99323146118</v>
      </c>
      <c r="L25" s="4">
        <f t="shared" si="2"/>
        <v>858201.12134781328</v>
      </c>
      <c r="M25" s="4">
        <f t="shared" si="3"/>
        <v>6226713.1634500055</v>
      </c>
    </row>
    <row r="26" spans="1:13" x14ac:dyDescent="0.2">
      <c r="A26" s="3">
        <f>StartYear+24</f>
        <v>2049</v>
      </c>
      <c r="B26" s="4">
        <f>FacultyFTE*HoursPerWeek*WeeksPerYear*RatePerHour*(1+PracticeGrowth)^24</f>
        <v>928828.78378954576</v>
      </c>
      <c r="C26" s="4">
        <f>StudentsY1*(1+StudentGrowth)^24*CreditsPerStudent*TuitionPerCredit</f>
        <v>5805179.8986846609</v>
      </c>
      <c r="D26" s="4">
        <f>SimRevY1*(1+SimGrowth)^24</f>
        <v>492486.63379038131</v>
      </c>
      <c r="E26" s="4">
        <f>FacDevRevY1*(1+FacDevGrowth)^24</f>
        <v>246243.31689519066</v>
      </c>
      <c r="F26" s="4">
        <f t="shared" si="0"/>
        <v>6543909.8493702328</v>
      </c>
      <c r="G26" s="4">
        <f t="shared" si="1"/>
        <v>7472738.633159779</v>
      </c>
      <c r="H26" s="4">
        <f>SalaryFTECount*SalaryPerFTE*(1+SalaryGrowth)^24</f>
        <v>538293.87462726806</v>
      </c>
      <c r="I26" s="4">
        <f>SimOpsY1*(1+SimOpsGrowth)^24</f>
        <v>190235.42211720344</v>
      </c>
      <c r="J26" s="4">
        <f>TrainDevY1*(1+TrainDevGrowth)^24</f>
        <v>95117.711058601722</v>
      </c>
      <c r="K26" s="4">
        <f>AdminY1*(1+AdminGrowth)^24</f>
        <v>80978.692825348844</v>
      </c>
      <c r="L26" s="4">
        <f t="shared" si="2"/>
        <v>904625.70062842208</v>
      </c>
      <c r="M26" s="4">
        <f t="shared" si="3"/>
        <v>6568112.9325313568</v>
      </c>
    </row>
    <row r="27" spans="1:13" x14ac:dyDescent="0.2">
      <c r="A27" s="3">
        <f>StartYear+25</f>
        <v>2050</v>
      </c>
      <c r="B27" s="4">
        <f>FacultyFTE*HoursPerWeek*WeeksPerYear*RatePerHour*(1+PracticeGrowth)^25</f>
        <v>975270.22297902312</v>
      </c>
      <c r="C27" s="4">
        <f>StudentsY1*(1+StudentGrowth)^25*CreditsPerStudent*TuitionPerCredit</f>
        <v>6095438.8936188947</v>
      </c>
      <c r="D27" s="4">
        <f>SimRevY1*(1+SimGrowth)^25</f>
        <v>541735.29716941959</v>
      </c>
      <c r="E27" s="4">
        <f>FacDevRevY1*(1+FacDevGrowth)^25</f>
        <v>270867.64858470979</v>
      </c>
      <c r="F27" s="4">
        <f t="shared" si="0"/>
        <v>6908041.8393730242</v>
      </c>
      <c r="G27" s="4">
        <f t="shared" si="1"/>
        <v>7883312.0623520473</v>
      </c>
      <c r="H27" s="4">
        <f>SalaryFTECount*SalaryPerFTE*(1+SalaryGrowth)^25</f>
        <v>559825.62961235887</v>
      </c>
      <c r="I27" s="4">
        <f>SimOpsY1*(1+SimOpsGrowth)^25</f>
        <v>205454.25588657975</v>
      </c>
      <c r="J27" s="4">
        <f>TrainDevY1*(1+TrainDevGrowth)^25</f>
        <v>102727.12794328987</v>
      </c>
      <c r="K27" s="4">
        <f>AdminY1*(1+AdminGrowth)^25</f>
        <v>85837.41439486976</v>
      </c>
      <c r="L27" s="4">
        <f t="shared" si="2"/>
        <v>953844.42783709825</v>
      </c>
      <c r="M27" s="4">
        <f t="shared" si="3"/>
        <v>6929467.6345149493</v>
      </c>
    </row>
    <row r="28" spans="1:13" x14ac:dyDescent="0.2">
      <c r="A28" s="3">
        <f>StartYear+26</f>
        <v>2051</v>
      </c>
      <c r="B28" s="4">
        <f>FacultyFTE*HoursPerWeek*WeeksPerYear*RatePerHour*(1+PracticeGrowth)^26</f>
        <v>1024033.7341279743</v>
      </c>
      <c r="C28" s="4">
        <f>StudentsY1*(1+StudentGrowth)^26*CreditsPerStudent*TuitionPerCredit</f>
        <v>6400210.8382998398</v>
      </c>
      <c r="D28" s="4">
        <f>SimRevY1*(1+SimGrowth)^26</f>
        <v>595908.82688636158</v>
      </c>
      <c r="E28" s="4">
        <f>FacDevRevY1*(1+FacDevGrowth)^26</f>
        <v>297954.41344318079</v>
      </c>
      <c r="F28" s="4">
        <f t="shared" si="0"/>
        <v>7294074.078629382</v>
      </c>
      <c r="G28" s="4">
        <f t="shared" si="1"/>
        <v>8318107.8127573561</v>
      </c>
      <c r="H28" s="4">
        <f>SalaryFTECount*SalaryPerFTE*(1+SalaryGrowth)^26</f>
        <v>582218.6547968532</v>
      </c>
      <c r="I28" s="4">
        <f>SimOpsY1*(1+SimOpsGrowth)^26</f>
        <v>221890.59635750612</v>
      </c>
      <c r="J28" s="4">
        <f>TrainDevY1*(1+TrainDevGrowth)^26</f>
        <v>110945.29817875306</v>
      </c>
      <c r="K28" s="4">
        <f>AdminY1*(1+AdminGrowth)^26</f>
        <v>90987.659258561951</v>
      </c>
      <c r="L28" s="4">
        <f t="shared" si="2"/>
        <v>1006042.2085916742</v>
      </c>
      <c r="M28" s="4">
        <f t="shared" si="3"/>
        <v>7312065.6041656816</v>
      </c>
    </row>
    <row r="29" spans="1:13" x14ac:dyDescent="0.2">
      <c r="A29" s="3">
        <f>StartYear+27</f>
        <v>2052</v>
      </c>
      <c r="B29" s="4">
        <f>FacultyFTE*HoursPerWeek*WeeksPerYear*RatePerHour*(1+PracticeGrowth)^27</f>
        <v>1075235.4208343732</v>
      </c>
      <c r="C29" s="4">
        <f>StudentsY1*(1+StudentGrowth)^27*CreditsPerStudent*TuitionPerCredit</f>
        <v>6720221.3802148318</v>
      </c>
      <c r="D29" s="4">
        <f>SimRevY1*(1+SimGrowth)^27</f>
        <v>655499.70957499777</v>
      </c>
      <c r="E29" s="4">
        <f>FacDevRevY1*(1+FacDevGrowth)^27</f>
        <v>327749.85478749889</v>
      </c>
      <c r="F29" s="4">
        <f t="shared" si="0"/>
        <v>7703470.9445773279</v>
      </c>
      <c r="G29" s="4">
        <f t="shared" si="1"/>
        <v>8778706.3654117007</v>
      </c>
      <c r="H29" s="4">
        <f>SalaryFTECount*SalaryPerFTE*(1+SalaryGrowth)^27</f>
        <v>605507.40098872734</v>
      </c>
      <c r="I29" s="4">
        <f>SimOpsY1*(1+SimOpsGrowth)^27</f>
        <v>239641.8440661066</v>
      </c>
      <c r="J29" s="4">
        <f>TrainDevY1*(1+TrainDevGrowth)^27</f>
        <v>119820.9220330533</v>
      </c>
      <c r="K29" s="4">
        <f>AdminY1*(1+AdminGrowth)^27</f>
        <v>96446.918814075689</v>
      </c>
      <c r="L29" s="4">
        <f t="shared" si="2"/>
        <v>1061417.0859019628</v>
      </c>
      <c r="M29" s="4">
        <f t="shared" si="3"/>
        <v>7717289.2795097381</v>
      </c>
    </row>
    <row r="30" spans="1:13" x14ac:dyDescent="0.2">
      <c r="A30" s="3">
        <f>StartYear+28</f>
        <v>2053</v>
      </c>
      <c r="B30" s="4">
        <f>FacultyFTE*HoursPerWeek*WeeksPerYear*RatePerHour*(1+PracticeGrowth)^28</f>
        <v>1128997.1918760915</v>
      </c>
      <c r="C30" s="4">
        <f>StudentsY1*(1+StudentGrowth)^28*CreditsPerStudent*TuitionPerCredit</f>
        <v>7056232.4492255719</v>
      </c>
      <c r="D30" s="4">
        <f>SimRevY1*(1+SimGrowth)^28</f>
        <v>721049.68053249759</v>
      </c>
      <c r="E30" s="4">
        <f>FacDevRevY1*(1+FacDevGrowth)^28</f>
        <v>360524.84026624879</v>
      </c>
      <c r="F30" s="4">
        <f t="shared" si="0"/>
        <v>8137806.9700243184</v>
      </c>
      <c r="G30" s="4">
        <f t="shared" si="1"/>
        <v>9266804.1619004104</v>
      </c>
      <c r="H30" s="4">
        <f>SalaryFTECount*SalaryPerFTE*(1+SalaryGrowth)^28</f>
        <v>629727.69702827663</v>
      </c>
      <c r="I30" s="4">
        <f>SimOpsY1*(1+SimOpsGrowth)^28</f>
        <v>258813.19159139512</v>
      </c>
      <c r="J30" s="4">
        <f>TrainDevY1*(1+TrainDevGrowth)^28</f>
        <v>129406.59579569756</v>
      </c>
      <c r="K30" s="4">
        <f>AdminY1*(1+AdminGrowth)^28</f>
        <v>102233.73394292024</v>
      </c>
      <c r="L30" s="4">
        <f t="shared" si="2"/>
        <v>1120181.2183582897</v>
      </c>
      <c r="M30" s="4">
        <f t="shared" si="3"/>
        <v>8146622.943542121</v>
      </c>
    </row>
    <row r="31" spans="1:13" x14ac:dyDescent="0.2">
      <c r="A31" s="3">
        <f>StartYear+29</f>
        <v>2054</v>
      </c>
      <c r="B31" s="4">
        <f>FacultyFTE*HoursPerWeek*WeeksPerYear*RatePerHour*(1+PracticeGrowth)^29</f>
        <v>1185447.0514698965</v>
      </c>
      <c r="C31" s="4">
        <f>StudentsY1*(1+StudentGrowth)^29*CreditsPerStudent*TuitionPerCredit</f>
        <v>7409044.0716868527</v>
      </c>
      <c r="D31" s="4">
        <f>SimRevY1*(1+SimGrowth)^29</f>
        <v>793154.64858574735</v>
      </c>
      <c r="E31" s="4">
        <f>FacDevRevY1*(1+FacDevGrowth)^29</f>
        <v>396577.32429287367</v>
      </c>
      <c r="F31" s="4">
        <f t="shared" si="0"/>
        <v>8598776.0445654728</v>
      </c>
      <c r="G31" s="4">
        <f t="shared" si="1"/>
        <v>9784223.0960353687</v>
      </c>
      <c r="H31" s="4">
        <f>SalaryFTECount*SalaryPerFTE*(1+SalaryGrowth)^29</f>
        <v>654916.80490940763</v>
      </c>
      <c r="I31" s="4">
        <f>SimOpsY1*(1+SimOpsGrowth)^29</f>
        <v>279518.24691870675</v>
      </c>
      <c r="J31" s="4">
        <f>TrainDevY1*(1+TrainDevGrowth)^29</f>
        <v>139759.12345935337</v>
      </c>
      <c r="K31" s="4">
        <f>AdminY1*(1+AdminGrowth)^29</f>
        <v>108367.75797949547</v>
      </c>
      <c r="L31" s="4">
        <f t="shared" si="2"/>
        <v>1182561.9332669631</v>
      </c>
      <c r="M31" s="4">
        <f t="shared" si="3"/>
        <v>8601661.1627684049</v>
      </c>
    </row>
    <row r="32" spans="1:13" x14ac:dyDescent="0.2">
      <c r="A32" s="3">
        <f>StartYear+30</f>
        <v>2055</v>
      </c>
      <c r="B32" s="4">
        <f>FacultyFTE*HoursPerWeek*WeeksPerYear*RatePerHour*(1+PracticeGrowth)^30</f>
        <v>1244719.4040433909</v>
      </c>
      <c r="C32" s="4">
        <f>StudentsY1*(1+StudentGrowth)^30*CreditsPerStudent*TuitionPerCredit</f>
        <v>7779496.2752711913</v>
      </c>
      <c r="D32" s="4">
        <f>SimRevY1*(1+SimGrowth)^30</f>
        <v>872470.11344432225</v>
      </c>
      <c r="E32" s="4">
        <f>FacDevRevY1*(1+FacDevGrowth)^30</f>
        <v>436235.05672216113</v>
      </c>
      <c r="F32" s="4">
        <f t="shared" si="0"/>
        <v>9088201.4454376735</v>
      </c>
      <c r="G32" s="4">
        <f t="shared" si="1"/>
        <v>10332920.849481065</v>
      </c>
      <c r="H32" s="4">
        <f>SalaryFTECount*SalaryPerFTE*(1+SalaryGrowth)^30</f>
        <v>681113.47710578388</v>
      </c>
      <c r="I32" s="4">
        <f>SimOpsY1*(1+SimOpsGrowth)^30</f>
        <v>301879.70667220332</v>
      </c>
      <c r="J32" s="4">
        <f>TrainDevY1*(1+TrainDevGrowth)^30</f>
        <v>150939.85333610166</v>
      </c>
      <c r="K32" s="4">
        <f>AdminY1*(1+AdminGrowth)^30</f>
        <v>114869.82345826519</v>
      </c>
      <c r="L32" s="4">
        <f t="shared" si="2"/>
        <v>1248802.8605723542</v>
      </c>
      <c r="M32" s="4">
        <f t="shared" si="3"/>
        <v>9084117.98890871</v>
      </c>
    </row>
    <row r="33" spans="1:13" x14ac:dyDescent="0.2">
      <c r="A33" s="3">
        <f>StartYear+31</f>
        <v>2056</v>
      </c>
      <c r="B33" s="4">
        <f>FacultyFTE*HoursPerWeek*WeeksPerYear*RatePerHour*(1+PracticeGrowth)^31</f>
        <v>1306955.374245561</v>
      </c>
      <c r="C33" s="4">
        <f>StudentsY1*(1+StudentGrowth)^31*CreditsPerStudent*TuitionPerCredit</f>
        <v>8168471.0890347557</v>
      </c>
      <c r="D33" s="4">
        <f>SimRevY1*(1+SimGrowth)^31</f>
        <v>959717.1247887545</v>
      </c>
      <c r="E33" s="4">
        <f>FacDevRevY1*(1+FacDevGrowth)^31</f>
        <v>479858.56239437725</v>
      </c>
      <c r="F33" s="4">
        <f t="shared" si="0"/>
        <v>9608046.7762178872</v>
      </c>
      <c r="G33" s="4">
        <f t="shared" si="1"/>
        <v>10915002.150463449</v>
      </c>
      <c r="H33" s="4">
        <f>SalaryFTECount*SalaryPerFTE*(1+SalaryGrowth)^31</f>
        <v>708358.01619001525</v>
      </c>
      <c r="I33" s="4">
        <f>SimOpsY1*(1+SimOpsGrowth)^31</f>
        <v>326030.08320597967</v>
      </c>
      <c r="J33" s="4">
        <f>TrainDevY1*(1+TrainDevGrowth)^31</f>
        <v>163015.04160298983</v>
      </c>
      <c r="K33" s="4">
        <f>AdminY1*(1+AdminGrowth)^31</f>
        <v>121762.01286576113</v>
      </c>
      <c r="L33" s="4">
        <f t="shared" si="2"/>
        <v>1319165.1538647457</v>
      </c>
      <c r="M33" s="4">
        <f t="shared" si="3"/>
        <v>9595836.9965987038</v>
      </c>
    </row>
    <row r="34" spans="1:13" x14ac:dyDescent="0.2">
      <c r="A34" s="3">
        <f>StartYear+32</f>
        <v>2057</v>
      </c>
      <c r="B34" s="4">
        <f>FacultyFTE*HoursPerWeek*WeeksPerYear*RatePerHour*(1+PracticeGrowth)^32</f>
        <v>1372303.1429578387</v>
      </c>
      <c r="C34" s="4">
        <f>StudentsY1*(1+StudentGrowth)^32*CreditsPerStudent*TuitionPerCredit</f>
        <v>8576894.6434864923</v>
      </c>
      <c r="D34" s="4">
        <f>SimRevY1*(1+SimGrowth)^32</f>
        <v>1055688.83726763</v>
      </c>
      <c r="E34" s="4">
        <f>FacDevRevY1*(1+FacDevGrowth)^32</f>
        <v>527844.41863381502</v>
      </c>
      <c r="F34" s="4">
        <f t="shared" si="0"/>
        <v>10160427.899387937</v>
      </c>
      <c r="G34" s="4">
        <f t="shared" si="1"/>
        <v>11532731.042345775</v>
      </c>
      <c r="H34" s="4">
        <f>SalaryFTECount*SalaryPerFTE*(1+SalaryGrowth)^32</f>
        <v>736692.33683761593</v>
      </c>
      <c r="I34" s="4">
        <f>SimOpsY1*(1+SimOpsGrowth)^32</f>
        <v>352112.48986245802</v>
      </c>
      <c r="J34" s="4">
        <f>TrainDevY1*(1+TrainDevGrowth)^32</f>
        <v>176056.24493122901</v>
      </c>
      <c r="K34" s="4">
        <f>AdminY1*(1+AdminGrowth)^32</f>
        <v>129067.73363770677</v>
      </c>
      <c r="L34" s="4">
        <f t="shared" si="2"/>
        <v>1393928.8052690097</v>
      </c>
      <c r="M34" s="4">
        <f t="shared" si="3"/>
        <v>10138802.237076765</v>
      </c>
    </row>
    <row r="35" spans="1:13" x14ac:dyDescent="0.2">
      <c r="A35" s="3">
        <f>StartYear+33</f>
        <v>2058</v>
      </c>
      <c r="B35" s="4">
        <f>FacultyFTE*HoursPerWeek*WeeksPerYear*RatePerHour*(1+PracticeGrowth)^33</f>
        <v>1440918.3001057308</v>
      </c>
      <c r="C35" s="4">
        <f>StudentsY1*(1+StudentGrowth)^33*CreditsPerStudent*TuitionPerCredit</f>
        <v>9005739.3756608181</v>
      </c>
      <c r="D35" s="4">
        <f>SimRevY1*(1+SimGrowth)^33</f>
        <v>1161257.7209943931</v>
      </c>
      <c r="E35" s="4">
        <f>FacDevRevY1*(1+FacDevGrowth)^33</f>
        <v>580628.86049719655</v>
      </c>
      <c r="F35" s="4">
        <f t="shared" si="0"/>
        <v>10747625.957152408</v>
      </c>
      <c r="G35" s="4">
        <f t="shared" si="1"/>
        <v>12188544.257258138</v>
      </c>
      <c r="H35" s="4">
        <f>SalaryFTECount*SalaryPerFTE*(1+SalaryGrowth)^33</f>
        <v>766160.03031112056</v>
      </c>
      <c r="I35" s="4">
        <f>SimOpsY1*(1+SimOpsGrowth)^33</f>
        <v>380281.4890514547</v>
      </c>
      <c r="J35" s="4">
        <f>TrainDevY1*(1+TrainDevGrowth)^33</f>
        <v>190140.74452572735</v>
      </c>
      <c r="K35" s="4">
        <f>AdminY1*(1+AdminGrowth)^33</f>
        <v>136811.79765596919</v>
      </c>
      <c r="L35" s="4">
        <f t="shared" si="2"/>
        <v>1473394.0615442719</v>
      </c>
      <c r="M35" s="4">
        <f t="shared" si="3"/>
        <v>10715150.195713867</v>
      </c>
    </row>
    <row r="36" spans="1:13" x14ac:dyDescent="0.2">
      <c r="A36" s="3">
        <f>StartYear+34</f>
        <v>2059</v>
      </c>
      <c r="B36" s="4">
        <f>FacultyFTE*HoursPerWeek*WeeksPerYear*RatePerHour*(1+PracticeGrowth)^34</f>
        <v>1512964.2151110172</v>
      </c>
      <c r="C36" s="4">
        <f>StudentsY1*(1+StudentGrowth)^34*CreditsPerStudent*TuitionPerCredit</f>
        <v>9456026.3444438577</v>
      </c>
      <c r="D36" s="4">
        <f>SimRevY1*(1+SimGrowth)^34</f>
        <v>1277383.4930938324</v>
      </c>
      <c r="E36" s="4">
        <f>FacDevRevY1*(1+FacDevGrowth)^34</f>
        <v>638691.7465469162</v>
      </c>
      <c r="F36" s="4">
        <f t="shared" si="0"/>
        <v>11372101.584084608</v>
      </c>
      <c r="G36" s="4">
        <f t="shared" si="1"/>
        <v>12885065.799195625</v>
      </c>
      <c r="H36" s="4">
        <f>SalaryFTECount*SalaryPerFTE*(1+SalaryGrowth)^34</f>
        <v>796806.43152356544</v>
      </c>
      <c r="I36" s="4">
        <f>SimOpsY1*(1+SimOpsGrowth)^34</f>
        <v>410704.00817557104</v>
      </c>
      <c r="J36" s="4">
        <f>TrainDevY1*(1+TrainDevGrowth)^34</f>
        <v>205352.00408778552</v>
      </c>
      <c r="K36" s="4">
        <f>AdminY1*(1+AdminGrowth)^34</f>
        <v>145020.50551532736</v>
      </c>
      <c r="L36" s="4">
        <f t="shared" si="2"/>
        <v>1557882.9493022494</v>
      </c>
      <c r="M36" s="4">
        <f t="shared" si="3"/>
        <v>11327182.849893376</v>
      </c>
    </row>
    <row r="37" spans="1:13" x14ac:dyDescent="0.2">
      <c r="A37" s="3">
        <f>StartYear+35</f>
        <v>2060</v>
      </c>
      <c r="B37" s="4">
        <f>FacultyFTE*HoursPerWeek*WeeksPerYear*RatePerHour*(1+PracticeGrowth)^35</f>
        <v>1588612.4258665682</v>
      </c>
      <c r="C37" s="4">
        <f>StudentsY1*(1+StudentGrowth)^35*CreditsPerStudent*TuitionPerCredit</f>
        <v>9928827.6616660543</v>
      </c>
      <c r="D37" s="4">
        <f>SimRevY1*(1+SimGrowth)^35</f>
        <v>1405121.8424032158</v>
      </c>
      <c r="E37" s="4">
        <f>FacDevRevY1*(1+FacDevGrowth)^35</f>
        <v>702560.92120160791</v>
      </c>
      <c r="F37" s="4">
        <f t="shared" si="0"/>
        <v>12036510.425270878</v>
      </c>
      <c r="G37" s="4">
        <f t="shared" si="1"/>
        <v>13625122.851137446</v>
      </c>
      <c r="H37" s="4">
        <f>SalaryFTECount*SalaryPerFTE*(1+SalaryGrowth)^35</f>
        <v>828678.68878450815</v>
      </c>
      <c r="I37" s="4">
        <f>SimOpsY1*(1+SimOpsGrowth)^35</f>
        <v>443560.32882961677</v>
      </c>
      <c r="J37" s="4">
        <f>TrainDevY1*(1+TrainDevGrowth)^35</f>
        <v>221780.16441480839</v>
      </c>
      <c r="K37" s="4">
        <f>AdminY1*(1+AdminGrowth)^35</f>
        <v>153721.735846247</v>
      </c>
      <c r="L37" s="4">
        <f t="shared" si="2"/>
        <v>1647740.9178751803</v>
      </c>
      <c r="M37" s="4">
        <f t="shared" si="3"/>
        <v>11977381.933262266</v>
      </c>
    </row>
    <row r="38" spans="1:13" x14ac:dyDescent="0.2">
      <c r="A38" s="3">
        <f>StartYear+36</f>
        <v>2061</v>
      </c>
      <c r="B38" s="4">
        <f>FacultyFTE*HoursPerWeek*WeeksPerYear*RatePerHour*(1+PracticeGrowth)^36</f>
        <v>1668043.0471598965</v>
      </c>
      <c r="C38" s="4">
        <f>StudentsY1*(1+StudentGrowth)^36*CreditsPerStudent*TuitionPerCredit</f>
        <v>10425269.044749353</v>
      </c>
      <c r="D38" s="4">
        <f>SimRevY1*(1+SimGrowth)^36</f>
        <v>1545634.0266435375</v>
      </c>
      <c r="E38" s="4">
        <f>FacDevRevY1*(1+FacDevGrowth)^36</f>
        <v>772817.01332176873</v>
      </c>
      <c r="F38" s="4">
        <f t="shared" si="0"/>
        <v>12743720.084714659</v>
      </c>
      <c r="G38" s="4">
        <f t="shared" si="1"/>
        <v>14411763.131874556</v>
      </c>
      <c r="H38" s="4">
        <f>SalaryFTECount*SalaryPerFTE*(1+SalaryGrowth)^36</f>
        <v>861825.83633588837</v>
      </c>
      <c r="I38" s="4">
        <f>SimOpsY1*(1+SimOpsGrowth)^36</f>
        <v>479045.15513598622</v>
      </c>
      <c r="J38" s="4">
        <f>TrainDevY1*(1+TrainDevGrowth)^36</f>
        <v>239522.57756799311</v>
      </c>
      <c r="K38" s="4">
        <f>AdminY1*(1+AdminGrowth)^36</f>
        <v>162945.03999702184</v>
      </c>
      <c r="L38" s="4">
        <f t="shared" si="2"/>
        <v>1743338.6090368896</v>
      </c>
      <c r="M38" s="4">
        <f t="shared" si="3"/>
        <v>12668424.522837667</v>
      </c>
    </row>
    <row r="39" spans="1:13" x14ac:dyDescent="0.2">
      <c r="A39" s="3">
        <f>StartYear+37</f>
        <v>2062</v>
      </c>
      <c r="B39" s="4">
        <f>FacultyFTE*HoursPerWeek*WeeksPerYear*RatePerHour*(1+PracticeGrowth)^37</f>
        <v>1751445.1995178915</v>
      </c>
      <c r="C39" s="4">
        <f>StudentsY1*(1+StudentGrowth)^37*CreditsPerStudent*TuitionPerCredit</f>
        <v>10946532.496986821</v>
      </c>
      <c r="D39" s="4">
        <f>SimRevY1*(1+SimGrowth)^37</f>
        <v>1700197.4293078913</v>
      </c>
      <c r="E39" s="4">
        <f>FacDevRevY1*(1+FacDevGrowth)^37</f>
        <v>850098.71465394564</v>
      </c>
      <c r="F39" s="4">
        <f t="shared" si="0"/>
        <v>13496828.640948659</v>
      </c>
      <c r="G39" s="4">
        <f t="shared" si="1"/>
        <v>15248273.84046655</v>
      </c>
      <c r="H39" s="4">
        <f>SalaryFTECount*SalaryPerFTE*(1+SalaryGrowth)^37</f>
        <v>896298.86978932424</v>
      </c>
      <c r="I39" s="4">
        <f>SimOpsY1*(1+SimOpsGrowth)^37</f>
        <v>517368.7675468651</v>
      </c>
      <c r="J39" s="4">
        <f>TrainDevY1*(1+TrainDevGrowth)^37</f>
        <v>258684.38377343255</v>
      </c>
      <c r="K39" s="4">
        <f>AdminY1*(1+AdminGrowth)^37</f>
        <v>172721.74239684315</v>
      </c>
      <c r="L39" s="4">
        <f t="shared" si="2"/>
        <v>1845073.7635064651</v>
      </c>
      <c r="M39" s="4">
        <f t="shared" si="3"/>
        <v>13403200.076960085</v>
      </c>
    </row>
    <row r="40" spans="1:13" x14ac:dyDescent="0.2">
      <c r="A40" s="3">
        <f>StartYear+38</f>
        <v>2063</v>
      </c>
      <c r="B40" s="4">
        <f>FacultyFTE*HoursPerWeek*WeeksPerYear*RatePerHour*(1+PracticeGrowth)^38</f>
        <v>1839017.4594937859</v>
      </c>
      <c r="C40" s="4">
        <f>StudentsY1*(1+StudentGrowth)^38*CreditsPerStudent*TuitionPerCredit</f>
        <v>11493859.121836163</v>
      </c>
      <c r="D40" s="4">
        <f>SimRevY1*(1+SimGrowth)^38</f>
        <v>1870217.1722386808</v>
      </c>
      <c r="E40" s="4">
        <f>FacDevRevY1*(1+FacDevGrowth)^38</f>
        <v>935108.58611934038</v>
      </c>
      <c r="F40" s="4">
        <f t="shared" si="0"/>
        <v>14299184.880194185</v>
      </c>
      <c r="G40" s="4">
        <f t="shared" si="1"/>
        <v>16138202.339687971</v>
      </c>
      <c r="H40" s="4">
        <f>SalaryFTECount*SalaryPerFTE*(1+SalaryGrowth)^38</f>
        <v>932150.824580897</v>
      </c>
      <c r="I40" s="4">
        <f>SimOpsY1*(1+SimOpsGrowth)^38</f>
        <v>558758.26895061438</v>
      </c>
      <c r="J40" s="4">
        <f>TrainDevY1*(1+TrainDevGrowth)^38</f>
        <v>279379.13447530719</v>
      </c>
      <c r="K40" s="4">
        <f>AdminY1*(1+AdminGrowth)^38</f>
        <v>183085.04694065376</v>
      </c>
      <c r="L40" s="4">
        <f t="shared" si="2"/>
        <v>1953373.2749474721</v>
      </c>
      <c r="M40" s="4">
        <f t="shared" si="3"/>
        <v>14184829.064740499</v>
      </c>
    </row>
    <row r="41" spans="1:13" x14ac:dyDescent="0.2">
      <c r="A41" s="3">
        <f>StartYear+39</f>
        <v>2064</v>
      </c>
      <c r="B41" s="4">
        <f>FacultyFTE*HoursPerWeek*WeeksPerYear*RatePerHour*(1+PracticeGrowth)^39</f>
        <v>1930968.3324684754</v>
      </c>
      <c r="C41" s="4">
        <f>StudentsY1*(1+StudentGrowth)^39*CreditsPerStudent*TuitionPerCredit</f>
        <v>12068552.077927973</v>
      </c>
      <c r="D41" s="4">
        <f>SimRevY1*(1+SimGrowth)^39</f>
        <v>2057238.889462549</v>
      </c>
      <c r="E41" s="4">
        <f>FacDevRevY1*(1+FacDevGrowth)^39</f>
        <v>1028619.4447312745</v>
      </c>
      <c r="F41" s="4">
        <f t="shared" si="0"/>
        <v>15154410.412121797</v>
      </c>
      <c r="G41" s="4">
        <f t="shared" si="1"/>
        <v>17085378.744590271</v>
      </c>
      <c r="H41" s="4">
        <f>SalaryFTECount*SalaryPerFTE*(1+SalaryGrowth)^39</f>
        <v>969436.85756413278</v>
      </c>
      <c r="I41" s="4">
        <f>SimOpsY1*(1+SimOpsGrowth)^39</f>
        <v>603458.93046666356</v>
      </c>
      <c r="J41" s="4">
        <f>TrainDevY1*(1+TrainDevGrowth)^39</f>
        <v>301729.46523333178</v>
      </c>
      <c r="K41" s="4">
        <f>AdminY1*(1+AdminGrowth)^39</f>
        <v>194070.14975709302</v>
      </c>
      <c r="L41" s="4">
        <f t="shared" si="2"/>
        <v>2068695.403021221</v>
      </c>
      <c r="M41" s="4">
        <f t="shared" si="3"/>
        <v>15016683.341569051</v>
      </c>
    </row>
    <row r="42" spans="1:13" x14ac:dyDescent="0.2">
      <c r="A42" s="3">
        <f>StartYear+40</f>
        <v>2065</v>
      </c>
      <c r="B42" s="4">
        <f>FacultyFTE*HoursPerWeek*WeeksPerYear*RatePerHour*(1+PracticeGrowth)^40</f>
        <v>2027516.749091899</v>
      </c>
      <c r="C42" s="4">
        <f>StudentsY1*(1+StudentGrowth)^40*CreditsPerStudent*TuitionPerCredit</f>
        <v>12671979.681824367</v>
      </c>
      <c r="D42" s="4">
        <f>SimRevY1*(1+SimGrowth)^40</f>
        <v>2262962.7784088035</v>
      </c>
      <c r="E42" s="4">
        <f>FacDevRevY1*(1+FacDevGrowth)^40</f>
        <v>1131481.3892044018</v>
      </c>
      <c r="F42" s="4">
        <f t="shared" si="0"/>
        <v>16066423.849437572</v>
      </c>
      <c r="G42" s="4">
        <f t="shared" si="1"/>
        <v>18093940.598529473</v>
      </c>
      <c r="H42" s="4">
        <f>SalaryFTECount*SalaryPerFTE*(1+SalaryGrowth)^40</f>
        <v>1008214.3318666985</v>
      </c>
      <c r="I42" s="4">
        <f>SimOpsY1*(1+SimOpsGrowth)^40</f>
        <v>651735.64490399661</v>
      </c>
      <c r="J42" s="4">
        <f>TrainDevY1*(1+TrainDevGrowth)^40</f>
        <v>325867.82245199831</v>
      </c>
      <c r="K42" s="4">
        <f>AdminY1*(1+AdminGrowth)^40</f>
        <v>205714.35874251858</v>
      </c>
      <c r="L42" s="4">
        <f t="shared" si="2"/>
        <v>2191532.1579652121</v>
      </c>
      <c r="M42" s="4">
        <f t="shared" si="3"/>
        <v>15902408.44056426</v>
      </c>
    </row>
    <row r="43" spans="1:13" x14ac:dyDescent="0.2">
      <c r="A43" s="3">
        <f>StartYear+41</f>
        <v>2066</v>
      </c>
      <c r="B43" s="4">
        <f>FacultyFTE*HoursPerWeek*WeeksPerYear*RatePerHour*(1+PracticeGrowth)^41</f>
        <v>2128892.5865464942</v>
      </c>
      <c r="C43" s="4">
        <f>StudentsY1*(1+StudentGrowth)^41*CreditsPerStudent*TuitionPerCredit</f>
        <v>13305578.665915588</v>
      </c>
      <c r="D43" s="4">
        <f>SimRevY1*(1+SimGrowth)^41</f>
        <v>2489259.0562496842</v>
      </c>
      <c r="E43" s="4">
        <f>FacDevRevY1*(1+FacDevGrowth)^41</f>
        <v>1244629.5281248421</v>
      </c>
      <c r="F43" s="4">
        <f t="shared" si="0"/>
        <v>17039467.250290114</v>
      </c>
      <c r="G43" s="4">
        <f t="shared" si="1"/>
        <v>19168359.83683661</v>
      </c>
      <c r="H43" s="4">
        <f>SalaryFTECount*SalaryPerFTE*(1+SalaryGrowth)^41</f>
        <v>1048542.9051413664</v>
      </c>
      <c r="I43" s="4">
        <f>SimOpsY1*(1+SimOpsGrowth)^41</f>
        <v>703874.49649631639</v>
      </c>
      <c r="J43" s="4">
        <f>TrainDevY1*(1+TrainDevGrowth)^41</f>
        <v>351937.2482481582</v>
      </c>
      <c r="K43" s="4">
        <f>AdminY1*(1+AdminGrowth)^41</f>
        <v>218057.22026706967</v>
      </c>
      <c r="L43" s="4">
        <f t="shared" si="2"/>
        <v>2322411.8701529102</v>
      </c>
      <c r="M43" s="4">
        <f t="shared" si="3"/>
        <v>16845947.966683701</v>
      </c>
    </row>
    <row r="44" spans="1:13" x14ac:dyDescent="0.2">
      <c r="A44" s="3">
        <f>StartYear+42</f>
        <v>2067</v>
      </c>
      <c r="B44" s="4">
        <f>FacultyFTE*HoursPerWeek*WeeksPerYear*RatePerHour*(1+PracticeGrowth)^42</f>
        <v>2235337.2158738188</v>
      </c>
      <c r="C44" s="4">
        <f>StudentsY1*(1+StudentGrowth)^42*CreditsPerStudent*TuitionPerCredit</f>
        <v>13970857.599211367</v>
      </c>
      <c r="D44" s="4">
        <f>SimRevY1*(1+SimGrowth)^42</f>
        <v>2738184.9618746527</v>
      </c>
      <c r="E44" s="4">
        <f>FacDevRevY1*(1+FacDevGrowth)^42</f>
        <v>1369092.4809373263</v>
      </c>
      <c r="F44" s="4">
        <f t="shared" si="0"/>
        <v>18078135.042023346</v>
      </c>
      <c r="G44" s="4">
        <f t="shared" si="1"/>
        <v>20313472.257897165</v>
      </c>
      <c r="H44" s="4">
        <f>SalaryFTECount*SalaryPerFTE*(1+SalaryGrowth)^42</f>
        <v>1090484.6213470211</v>
      </c>
      <c r="I44" s="4">
        <f>SimOpsY1*(1+SimOpsGrowth)^42</f>
        <v>760184.45621602167</v>
      </c>
      <c r="J44" s="4">
        <f>TrainDevY1*(1+TrainDevGrowth)^42</f>
        <v>380092.22810801084</v>
      </c>
      <c r="K44" s="4">
        <f>AdminY1*(1+AdminGrowth)^42</f>
        <v>231140.65348309389</v>
      </c>
      <c r="L44" s="4">
        <f t="shared" si="2"/>
        <v>2461901.9591541472</v>
      </c>
      <c r="M44" s="4">
        <f t="shared" si="3"/>
        <v>17851570.298743017</v>
      </c>
    </row>
    <row r="45" spans="1:13" x14ac:dyDescent="0.2">
      <c r="A45" s="3">
        <f>StartYear+43</f>
        <v>2068</v>
      </c>
      <c r="B45" s="4">
        <f>FacultyFTE*HoursPerWeek*WeeksPerYear*RatePerHour*(1+PracticeGrowth)^43</f>
        <v>2347104.07666751</v>
      </c>
      <c r="C45" s="4">
        <f>StudentsY1*(1+StudentGrowth)^43*CreditsPerStudent*TuitionPerCredit</f>
        <v>14669400.479171937</v>
      </c>
      <c r="D45" s="4">
        <f>SimRevY1*(1+SimGrowth)^43</f>
        <v>3012003.4580621189</v>
      </c>
      <c r="E45" s="4">
        <f>FacDevRevY1*(1+FacDevGrowth)^43</f>
        <v>1506001.7290310594</v>
      </c>
      <c r="F45" s="4">
        <f t="shared" si="0"/>
        <v>19187405.666265115</v>
      </c>
      <c r="G45" s="4">
        <f t="shared" si="1"/>
        <v>21534509.742932625</v>
      </c>
      <c r="H45" s="4">
        <f>SalaryFTECount*SalaryPerFTE*(1+SalaryGrowth)^43</f>
        <v>1134104.0062009019</v>
      </c>
      <c r="I45" s="4">
        <f>SimOpsY1*(1+SimOpsGrowth)^43</f>
        <v>820999.21271330339</v>
      </c>
      <c r="J45" s="4">
        <f>TrainDevY1*(1+TrainDevGrowth)^43</f>
        <v>410499.6063566517</v>
      </c>
      <c r="K45" s="4">
        <f>AdminY1*(1+AdminGrowth)^43</f>
        <v>245009.09269207955</v>
      </c>
      <c r="L45" s="4">
        <f t="shared" si="2"/>
        <v>2610611.9179629362</v>
      </c>
      <c r="M45" s="4">
        <f t="shared" si="3"/>
        <v>18923897.82496969</v>
      </c>
    </row>
    <row r="46" spans="1:13" x14ac:dyDescent="0.2">
      <c r="A46" s="3">
        <f>StartYear+44</f>
        <v>2069</v>
      </c>
      <c r="B46" s="4">
        <f>FacultyFTE*HoursPerWeek*WeeksPerYear*RatePerHour*(1+PracticeGrowth)^44</f>
        <v>2464459.2805008851</v>
      </c>
      <c r="C46" s="4">
        <f>StudentsY1*(1+StudentGrowth)^44*CreditsPerStudent*TuitionPerCredit</f>
        <v>15402870.503130533</v>
      </c>
      <c r="D46" s="4">
        <f>SimRevY1*(1+SimGrowth)^44</f>
        <v>3313203.8038683305</v>
      </c>
      <c r="E46" s="4">
        <f>FacDevRevY1*(1+FacDevGrowth)^44</f>
        <v>1656601.9019341653</v>
      </c>
      <c r="F46" s="4">
        <f t="shared" si="0"/>
        <v>20372676.208933029</v>
      </c>
      <c r="G46" s="4">
        <f t="shared" si="1"/>
        <v>22837135.489433914</v>
      </c>
      <c r="H46" s="4">
        <f>SalaryFTECount*SalaryPerFTE*(1+SalaryGrowth)^44</f>
        <v>1179468.1664489382</v>
      </c>
      <c r="I46" s="4">
        <f>SimOpsY1*(1+SimOpsGrowth)^44</f>
        <v>886679.14973036782</v>
      </c>
      <c r="J46" s="4">
        <f>TrainDevY1*(1+TrainDevGrowth)^44</f>
        <v>443339.57486518391</v>
      </c>
      <c r="K46" s="4">
        <f>AdminY1*(1+AdminGrowth)^44</f>
        <v>259709.63825360435</v>
      </c>
      <c r="L46" s="4">
        <f t="shared" si="2"/>
        <v>2769196.5292980946</v>
      </c>
      <c r="M46" s="4">
        <f t="shared" si="3"/>
        <v>20067938.960135821</v>
      </c>
    </row>
    <row r="47" spans="1:13" x14ac:dyDescent="0.2">
      <c r="A47" s="3">
        <f>StartYear+45</f>
        <v>2070</v>
      </c>
      <c r="B47" s="4">
        <f>FacultyFTE*HoursPerWeek*WeeksPerYear*RatePerHour*(1+PracticeGrowth)^45</f>
        <v>2587682.2445259299</v>
      </c>
      <c r="C47" s="4">
        <f>StudentsY1*(1+StudentGrowth)^45*CreditsPerStudent*TuitionPerCredit</f>
        <v>16173014.028287062</v>
      </c>
      <c r="D47" s="4">
        <f>SimRevY1*(1+SimGrowth)^45</f>
        <v>3644524.1842551637</v>
      </c>
      <c r="E47" s="4">
        <f>FacDevRevY1*(1+FacDevGrowth)^45</f>
        <v>1822262.0921275818</v>
      </c>
      <c r="F47" s="4">
        <f t="shared" si="0"/>
        <v>21639800.304669805</v>
      </c>
      <c r="G47" s="4">
        <f t="shared" si="1"/>
        <v>24227482.549195737</v>
      </c>
      <c r="H47" s="4">
        <f>SalaryFTECount*SalaryPerFTE*(1+SalaryGrowth)^45</f>
        <v>1226646.8931068957</v>
      </c>
      <c r="I47" s="4">
        <f>SimOpsY1*(1+SimOpsGrowth)^45</f>
        <v>957613.48170879716</v>
      </c>
      <c r="J47" s="4">
        <f>TrainDevY1*(1+TrainDevGrowth)^45</f>
        <v>478806.74085439858</v>
      </c>
      <c r="K47" s="4">
        <f>AdminY1*(1+AdminGrowth)^45</f>
        <v>275292.21654882061</v>
      </c>
      <c r="L47" s="4">
        <f t="shared" si="2"/>
        <v>2938359.332218912</v>
      </c>
      <c r="M47" s="4">
        <f t="shared" si="3"/>
        <v>21289123.216976825</v>
      </c>
    </row>
    <row r="48" spans="1:13" x14ac:dyDescent="0.2">
      <c r="A48" s="3">
        <f>StartYear+46</f>
        <v>2071</v>
      </c>
      <c r="B48" s="4">
        <f>FacultyFTE*HoursPerWeek*WeeksPerYear*RatePerHour*(1+PracticeGrowth)^46</f>
        <v>2717066.3567522257</v>
      </c>
      <c r="C48" s="4">
        <f>StudentsY1*(1+StudentGrowth)^46*CreditsPerStudent*TuitionPerCredit</f>
        <v>16981664.729701411</v>
      </c>
      <c r="D48" s="4">
        <f>SimRevY1*(1+SimGrowth)^46</f>
        <v>4008976.6026806808</v>
      </c>
      <c r="E48" s="4">
        <f>FacDevRevY1*(1+FacDevGrowth)^46</f>
        <v>2004488.3013403404</v>
      </c>
      <c r="F48" s="4">
        <f t="shared" si="0"/>
        <v>22995129.633722432</v>
      </c>
      <c r="G48" s="4">
        <f t="shared" si="1"/>
        <v>25712195.990474656</v>
      </c>
      <c r="H48" s="4">
        <f>SalaryFTECount*SalaryPerFTE*(1+SalaryGrowth)^46</f>
        <v>1275712.7688311716</v>
      </c>
      <c r="I48" s="4">
        <f>SimOpsY1*(1+SimOpsGrowth)^46</f>
        <v>1034222.5602455011</v>
      </c>
      <c r="J48" s="4">
        <f>TrainDevY1*(1+TrainDevGrowth)^46</f>
        <v>517111.28012275056</v>
      </c>
      <c r="K48" s="4">
        <f>AdminY1*(1+AdminGrowth)^46</f>
        <v>291809.74954174983</v>
      </c>
      <c r="L48" s="4">
        <f t="shared" si="2"/>
        <v>3118856.3587411731</v>
      </c>
      <c r="M48" s="4">
        <f t="shared" si="3"/>
        <v>22593339.631733485</v>
      </c>
    </row>
    <row r="49" spans="1:13" x14ac:dyDescent="0.2">
      <c r="A49" s="3">
        <f>StartYear+47</f>
        <v>2072</v>
      </c>
      <c r="B49" s="4">
        <f>FacultyFTE*HoursPerWeek*WeeksPerYear*RatePerHour*(1+PracticeGrowth)^47</f>
        <v>2852919.6745898379</v>
      </c>
      <c r="C49" s="4">
        <f>StudentsY1*(1+StudentGrowth)^47*CreditsPerStudent*TuitionPerCredit</f>
        <v>17830747.96618649</v>
      </c>
      <c r="D49" s="4">
        <f>SimRevY1*(1+SimGrowth)^47</f>
        <v>4409874.2629487487</v>
      </c>
      <c r="E49" s="4">
        <f>FacDevRevY1*(1+FacDevGrowth)^47</f>
        <v>2204937.1314743743</v>
      </c>
      <c r="F49" s="4">
        <f t="shared" si="0"/>
        <v>24445559.360609613</v>
      </c>
      <c r="G49" s="4">
        <f t="shared" si="1"/>
        <v>27298479.035199452</v>
      </c>
      <c r="H49" s="4">
        <f>SalaryFTECount*SalaryPerFTE*(1+SalaryGrowth)^47</f>
        <v>1326741.2795844183</v>
      </c>
      <c r="I49" s="4">
        <f>SimOpsY1*(1+SimOpsGrowth)^47</f>
        <v>1116960.3650651413</v>
      </c>
      <c r="J49" s="4">
        <f>TrainDevY1*(1+TrainDevGrowth)^47</f>
        <v>558480.18253257067</v>
      </c>
      <c r="K49" s="4">
        <f>AdminY1*(1+AdminGrowth)^47</f>
        <v>309318.33451425494</v>
      </c>
      <c r="L49" s="4">
        <f t="shared" si="2"/>
        <v>3311500.1616963856</v>
      </c>
      <c r="M49" s="4">
        <f t="shared" si="3"/>
        <v>23986978.873503067</v>
      </c>
    </row>
    <row r="50" spans="1:13" x14ac:dyDescent="0.2">
      <c r="A50" s="3">
        <f>StartYear+48</f>
        <v>2073</v>
      </c>
      <c r="B50" s="4">
        <f>FacultyFTE*HoursPerWeek*WeeksPerYear*RatePerHour*(1+PracticeGrowth)^48</f>
        <v>2995565.6583193298</v>
      </c>
      <c r="C50" s="4">
        <f>StudentsY1*(1+StudentGrowth)^48*CreditsPerStudent*TuitionPerCredit</f>
        <v>18722285.36449581</v>
      </c>
      <c r="D50" s="4">
        <f>SimRevY1*(1+SimGrowth)^48</f>
        <v>4850861.689243624</v>
      </c>
      <c r="E50" s="4">
        <f>FacDevRevY1*(1+FacDevGrowth)^48</f>
        <v>2425430.844621812</v>
      </c>
      <c r="F50" s="4">
        <f t="shared" si="0"/>
        <v>25998577.898361247</v>
      </c>
      <c r="G50" s="4">
        <f t="shared" si="1"/>
        <v>28994143.556680575</v>
      </c>
      <c r="H50" s="4">
        <f>SalaryFTECount*SalaryPerFTE*(1+SalaryGrowth)^48</f>
        <v>1379810.9307677953</v>
      </c>
      <c r="I50" s="4">
        <f>SimOpsY1*(1+SimOpsGrowth)^48</f>
        <v>1206317.1942703526</v>
      </c>
      <c r="J50" s="4">
        <f>TrainDevY1*(1+TrainDevGrowth)^48</f>
        <v>603158.5971351763</v>
      </c>
      <c r="K50" s="4">
        <f>AdminY1*(1+AdminGrowth)^48</f>
        <v>327877.43458511017</v>
      </c>
      <c r="L50" s="4">
        <f t="shared" si="2"/>
        <v>3517164.1567584346</v>
      </c>
      <c r="M50" s="4">
        <f t="shared" si="3"/>
        <v>25476979.39992214</v>
      </c>
    </row>
    <row r="51" spans="1:13" x14ac:dyDescent="0.2">
      <c r="A51" s="3">
        <f>StartYear+49</f>
        <v>2074</v>
      </c>
      <c r="B51" s="4">
        <f>FacultyFTE*HoursPerWeek*WeeksPerYear*RatePerHour*(1+PracticeGrowth)^49</f>
        <v>3145343.9412352964</v>
      </c>
      <c r="C51" s="4">
        <f>StudentsY1*(1+StudentGrowth)^49*CreditsPerStudent*TuitionPerCredit</f>
        <v>19658399.632720601</v>
      </c>
      <c r="D51" s="4">
        <f>SimRevY1*(1+SimGrowth)^49</f>
        <v>5335947.8581679864</v>
      </c>
      <c r="E51" s="4">
        <f>FacDevRevY1*(1+FacDevGrowth)^49</f>
        <v>2667973.9290839932</v>
      </c>
      <c r="F51" s="4">
        <f t="shared" si="0"/>
        <v>27662321.41997258</v>
      </c>
      <c r="G51" s="4">
        <f t="shared" si="1"/>
        <v>30807665.361207876</v>
      </c>
      <c r="H51" s="4">
        <f>SalaryFTECount*SalaryPerFTE*(1+SalaryGrowth)^49</f>
        <v>1435003.3679985071</v>
      </c>
      <c r="I51" s="4">
        <f>SimOpsY1*(1+SimOpsGrowth)^49</f>
        <v>1302822.5698119807</v>
      </c>
      <c r="J51" s="4">
        <f>TrainDevY1*(1+TrainDevGrowth)^49</f>
        <v>651411.28490599035</v>
      </c>
      <c r="K51" s="4">
        <f>AdminY1*(1+AdminGrowth)^49</f>
        <v>347550.0806602168</v>
      </c>
      <c r="L51" s="4">
        <f t="shared" si="2"/>
        <v>3736787.3033766956</v>
      </c>
      <c r="M51" s="4">
        <f t="shared" si="3"/>
        <v>27070878.057831179</v>
      </c>
    </row>
    <row r="52" spans="1:13" x14ac:dyDescent="0.2">
      <c r="A52" s="3">
        <f>StartYear+50</f>
        <v>2075</v>
      </c>
      <c r="B52" s="4">
        <f>FacultyFTE*HoursPerWeek*WeeksPerYear*RatePerHour*(1+PracticeGrowth)^50</f>
        <v>3302611.138297061</v>
      </c>
      <c r="C52" s="4">
        <f>StudentsY1*(1+StudentGrowth)^50*CreditsPerStudent*TuitionPerCredit</f>
        <v>20641319.61435663</v>
      </c>
      <c r="D52" s="4">
        <f>SimRevY1*(1+SimGrowth)^50</f>
        <v>5869542.6439847853</v>
      </c>
      <c r="E52" s="4">
        <f>FacDevRevY1*(1+FacDevGrowth)^50</f>
        <v>2934771.3219923927</v>
      </c>
      <c r="F52" s="4">
        <f t="shared" si="0"/>
        <v>29445633.58033381</v>
      </c>
      <c r="G52" s="4">
        <f t="shared" si="1"/>
        <v>32748244.718630873</v>
      </c>
      <c r="H52" s="4">
        <f>SalaryFTECount*SalaryPerFTE*(1+SalaryGrowth)^50</f>
        <v>1492403.5027184477</v>
      </c>
      <c r="I52" s="4">
        <f>SimOpsY1*(1+SimOpsGrowth)^50</f>
        <v>1407048.3753969395</v>
      </c>
      <c r="J52" s="4">
        <f>TrainDevY1*(1+TrainDevGrowth)^50</f>
        <v>703524.18769846973</v>
      </c>
      <c r="K52" s="4">
        <f>AdminY1*(1+AdminGrowth)^50</f>
        <v>368403.08549982979</v>
      </c>
      <c r="L52" s="4">
        <f t="shared" si="2"/>
        <v>3971379.1513136867</v>
      </c>
      <c r="M52" s="4">
        <f t="shared" si="3"/>
        <v>28776865.567317188</v>
      </c>
    </row>
    <row r="53" spans="1:13" x14ac:dyDescent="0.2">
      <c r="A53" s="3">
        <f>StartYear+51</f>
        <v>2076</v>
      </c>
      <c r="B53" s="4">
        <f>FacultyFTE*HoursPerWeek*WeeksPerYear*RatePerHour*(1+PracticeGrowth)^51</f>
        <v>3467741.6952119144</v>
      </c>
      <c r="C53" s="4">
        <f>StudentsY1*(1+StudentGrowth)^51*CreditsPerStudent*TuitionPerCredit</f>
        <v>21673385.595074464</v>
      </c>
      <c r="D53" s="4">
        <f>SimRevY1*(1+SimGrowth)^51</f>
        <v>6456496.9083832651</v>
      </c>
      <c r="E53" s="4">
        <f>FacDevRevY1*(1+FacDevGrowth)^51</f>
        <v>3228248.4541916326</v>
      </c>
      <c r="F53" s="4">
        <f t="shared" si="0"/>
        <v>31358130.957649361</v>
      </c>
      <c r="G53" s="4">
        <f t="shared" si="1"/>
        <v>34825872.652861275</v>
      </c>
      <c r="H53" s="4">
        <f>SalaryFTECount*SalaryPerFTE*(1+SalaryGrowth)^51</f>
        <v>1552099.6428271856</v>
      </c>
      <c r="I53" s="4">
        <f>SimOpsY1*(1+SimOpsGrowth)^51</f>
        <v>1519612.2454286949</v>
      </c>
      <c r="J53" s="4">
        <f>TrainDevY1*(1+TrainDevGrowth)^51</f>
        <v>759806.12271434744</v>
      </c>
      <c r="K53" s="4">
        <f>AdminY1*(1+AdminGrowth)^51</f>
        <v>390507.27062981966</v>
      </c>
      <c r="L53" s="4">
        <f t="shared" si="2"/>
        <v>4222025.2816000469</v>
      </c>
      <c r="M53" s="4">
        <f t="shared" si="3"/>
        <v>30603847.371261228</v>
      </c>
    </row>
    <row r="54" spans="1:13" x14ac:dyDescent="0.2">
      <c r="A54" s="3">
        <f>StartYear+52</f>
        <v>2077</v>
      </c>
      <c r="B54" s="4">
        <f>FacultyFTE*HoursPerWeek*WeeksPerYear*RatePerHour*(1+PracticeGrowth)^52</f>
        <v>3641128.7799725099</v>
      </c>
      <c r="C54" s="4">
        <f>StudentsY1*(1+StudentGrowth)^52*CreditsPerStudent*TuitionPerCredit</f>
        <v>22757054.874828186</v>
      </c>
      <c r="D54" s="4">
        <f>SimRevY1*(1+SimGrowth)^52</f>
        <v>7102146.5992215918</v>
      </c>
      <c r="E54" s="4">
        <f>FacDevRevY1*(1+FacDevGrowth)^52</f>
        <v>3551073.2996107959</v>
      </c>
      <c r="F54" s="4">
        <f t="shared" si="0"/>
        <v>33410274.773660574</v>
      </c>
      <c r="G54" s="4">
        <f t="shared" si="1"/>
        <v>37051403.553633086</v>
      </c>
      <c r="H54" s="4">
        <f>SalaryFTECount*SalaryPerFTE*(1+SalaryGrowth)^52</f>
        <v>1614183.6285402731</v>
      </c>
      <c r="I54" s="4">
        <f>SimOpsY1*(1+SimOpsGrowth)^52</f>
        <v>1641181.2250629903</v>
      </c>
      <c r="J54" s="4">
        <f>TrainDevY1*(1+TrainDevGrowth)^52</f>
        <v>820590.61253149516</v>
      </c>
      <c r="K54" s="4">
        <f>AdminY1*(1+AdminGrowth)^52</f>
        <v>413937.70686760882</v>
      </c>
      <c r="L54" s="4">
        <f t="shared" si="2"/>
        <v>4489893.1730023678</v>
      </c>
      <c r="M54" s="4">
        <f t="shared" si="3"/>
        <v>32561510.380630717</v>
      </c>
    </row>
    <row r="55" spans="1:13" x14ac:dyDescent="0.2">
      <c r="A55" s="3">
        <f>StartYear+53</f>
        <v>2078</v>
      </c>
      <c r="B55" s="4">
        <f>FacultyFTE*HoursPerWeek*WeeksPerYear*RatePerHour*(1+PracticeGrowth)^53</f>
        <v>3823185.2189711351</v>
      </c>
      <c r="C55" s="4">
        <f>StudentsY1*(1+StudentGrowth)^53*CreditsPerStudent*TuitionPerCredit</f>
        <v>23894907.618569594</v>
      </c>
      <c r="D55" s="4">
        <f>SimRevY1*(1+SimGrowth)^53</f>
        <v>7812361.259143752</v>
      </c>
      <c r="E55" s="4">
        <f>FacDevRevY1*(1+FacDevGrowth)^53</f>
        <v>3906180.629571876</v>
      </c>
      <c r="F55" s="4">
        <f t="shared" si="0"/>
        <v>35613449.507285222</v>
      </c>
      <c r="G55" s="4">
        <f t="shared" si="1"/>
        <v>39436634.726256356</v>
      </c>
      <c r="H55" s="4">
        <f>SalaryFTECount*SalaryPerFTE*(1+SalaryGrowth)^53</f>
        <v>1678750.9736818841</v>
      </c>
      <c r="I55" s="4">
        <f>SimOpsY1*(1+SimOpsGrowth)^53</f>
        <v>1772475.7230680294</v>
      </c>
      <c r="J55" s="4">
        <f>TrainDevY1*(1+TrainDevGrowth)^53</f>
        <v>886237.86153401469</v>
      </c>
      <c r="K55" s="4">
        <f>AdminY1*(1+AdminGrowth)^53</f>
        <v>438773.96927966544</v>
      </c>
      <c r="L55" s="4">
        <f t="shared" si="2"/>
        <v>4776238.5275635934</v>
      </c>
      <c r="M55" s="4">
        <f t="shared" si="3"/>
        <v>34660396.198692761</v>
      </c>
    </row>
    <row r="56" spans="1:13" x14ac:dyDescent="0.2">
      <c r="A56" s="3">
        <f>StartYear+54</f>
        <v>2079</v>
      </c>
      <c r="B56" s="4">
        <f>FacultyFTE*HoursPerWeek*WeeksPerYear*RatePerHour*(1+PracticeGrowth)^54</f>
        <v>4014344.4799196916</v>
      </c>
      <c r="C56" s="4">
        <f>StudentsY1*(1+StudentGrowth)^54*CreditsPerStudent*TuitionPerCredit</f>
        <v>25089652.999498073</v>
      </c>
      <c r="D56" s="4">
        <f>SimRevY1*(1+SimGrowth)^54</f>
        <v>8593597.3850581273</v>
      </c>
      <c r="E56" s="4">
        <f>FacDevRevY1*(1+FacDevGrowth)^54</f>
        <v>4296798.6925290637</v>
      </c>
      <c r="F56" s="4">
        <f t="shared" si="0"/>
        <v>37980049.077085271</v>
      </c>
      <c r="G56" s="4">
        <f t="shared" si="1"/>
        <v>41994393.557004966</v>
      </c>
      <c r="H56" s="4">
        <f>SalaryFTECount*SalaryPerFTE*(1+SalaryGrowth)^54</f>
        <v>1745901.0126291595</v>
      </c>
      <c r="I56" s="4">
        <f>SimOpsY1*(1+SimOpsGrowth)^54</f>
        <v>1914273.7809134722</v>
      </c>
      <c r="J56" s="4">
        <f>TrainDevY1*(1+TrainDevGrowth)^54</f>
        <v>957136.89045673609</v>
      </c>
      <c r="K56" s="4">
        <f>AdminY1*(1+AdminGrowth)^54</f>
        <v>465100.40743644536</v>
      </c>
      <c r="L56" s="4">
        <f t="shared" si="2"/>
        <v>5082412.0914358133</v>
      </c>
      <c r="M56" s="4">
        <f t="shared" si="3"/>
        <v>36911981.465569153</v>
      </c>
    </row>
    <row r="57" spans="1:13" x14ac:dyDescent="0.2">
      <c r="A57" s="3">
        <f>StartYear+55</f>
        <v>2080</v>
      </c>
      <c r="B57" s="4">
        <f>FacultyFTE*HoursPerWeek*WeeksPerYear*RatePerHour*(1+PracticeGrowth)^55</f>
        <v>4215061.703915677</v>
      </c>
      <c r="C57" s="4">
        <f>StudentsY1*(1+StudentGrowth)^55*CreditsPerStudent*TuitionPerCredit</f>
        <v>26344135.649472982</v>
      </c>
      <c r="D57" s="4">
        <f>SimRevY1*(1+SimGrowth)^55</f>
        <v>9452957.1235639416</v>
      </c>
      <c r="E57" s="4">
        <f>FacDevRevY1*(1+FacDevGrowth)^55</f>
        <v>4726478.5617819708</v>
      </c>
      <c r="F57" s="4">
        <f t="shared" si="0"/>
        <v>40523571.3348189</v>
      </c>
      <c r="G57" s="4">
        <f t="shared" si="1"/>
        <v>44738633.038734578</v>
      </c>
      <c r="H57" s="4">
        <f>SalaryFTECount*SalaryPerFTE*(1+SalaryGrowth)^55</f>
        <v>1815737.0531343257</v>
      </c>
      <c r="I57" s="4">
        <f>SimOpsY1*(1+SimOpsGrowth)^55</f>
        <v>2067415.6833865501</v>
      </c>
      <c r="J57" s="4">
        <f>TrainDevY1*(1+TrainDevGrowth)^55</f>
        <v>1033707.841693275</v>
      </c>
      <c r="K57" s="4">
        <f>AdminY1*(1+AdminGrowth)^55</f>
        <v>493006.43188263214</v>
      </c>
      <c r="L57" s="4">
        <f t="shared" si="2"/>
        <v>5409867.0100967828</v>
      </c>
      <c r="M57" s="4">
        <f t="shared" si="3"/>
        <v>39328766.028637797</v>
      </c>
    </row>
    <row r="58" spans="1:13" x14ac:dyDescent="0.2">
      <c r="A58" s="3">
        <f>StartYear+56</f>
        <v>2081</v>
      </c>
      <c r="B58" s="4">
        <f>FacultyFTE*HoursPerWeek*WeeksPerYear*RatePerHour*(1+PracticeGrowth)^56</f>
        <v>4425814.7891114606</v>
      </c>
      <c r="C58" s="4">
        <f>StudentsY1*(1+StudentGrowth)^56*CreditsPerStudent*TuitionPerCredit</f>
        <v>27661342.431946624</v>
      </c>
      <c r="D58" s="4">
        <f>SimRevY1*(1+SimGrowth)^56</f>
        <v>10398252.835920334</v>
      </c>
      <c r="E58" s="4">
        <f>FacDevRevY1*(1+FacDevGrowth)^56</f>
        <v>5199126.4179601669</v>
      </c>
      <c r="F58" s="4">
        <f t="shared" si="0"/>
        <v>43258721.685827121</v>
      </c>
      <c r="G58" s="4">
        <f t="shared" si="1"/>
        <v>47684536.474938579</v>
      </c>
      <c r="H58" s="4">
        <f>SalaryFTECount*SalaryPerFTE*(1+SalaryGrowth)^56</f>
        <v>1888366.5352596988</v>
      </c>
      <c r="I58" s="4">
        <f>SimOpsY1*(1+SimOpsGrowth)^56</f>
        <v>2232808.9380574739</v>
      </c>
      <c r="J58" s="4">
        <f>TrainDevY1*(1+TrainDevGrowth)^56</f>
        <v>1116404.4690287369</v>
      </c>
      <c r="K58" s="4">
        <f>AdminY1*(1+AdminGrowth)^56</f>
        <v>522586.81779558997</v>
      </c>
      <c r="L58" s="4">
        <f t="shared" si="2"/>
        <v>5760166.7601414993</v>
      </c>
      <c r="M58" s="4">
        <f t="shared" si="3"/>
        <v>41924369.71479708</v>
      </c>
    </row>
    <row r="59" spans="1:13" x14ac:dyDescent="0.2">
      <c r="A59" s="3">
        <f>StartYear+57</f>
        <v>2082</v>
      </c>
      <c r="B59" s="4">
        <f>FacultyFTE*HoursPerWeek*WeeksPerYear*RatePerHour*(1+PracticeGrowth)^57</f>
        <v>4647105.5285670338</v>
      </c>
      <c r="C59" s="4">
        <f>StudentsY1*(1+StudentGrowth)^57*CreditsPerStudent*TuitionPerCredit</f>
        <v>29044409.553543959</v>
      </c>
      <c r="D59" s="4">
        <f>SimRevY1*(1+SimGrowth)^57</f>
        <v>11438078.11951237</v>
      </c>
      <c r="E59" s="4">
        <f>FacDevRevY1*(1+FacDevGrowth)^57</f>
        <v>5719039.0597561849</v>
      </c>
      <c r="F59" s="4">
        <f t="shared" si="0"/>
        <v>46201526.732812509</v>
      </c>
      <c r="G59" s="4">
        <f t="shared" si="1"/>
        <v>50848632.26137954</v>
      </c>
      <c r="H59" s="4">
        <f>SalaryFTECount*SalaryPerFTE*(1+SalaryGrowth)^57</f>
        <v>1963901.1966700875</v>
      </c>
      <c r="I59" s="4">
        <f>SimOpsY1*(1+SimOpsGrowth)^57</f>
        <v>2411433.653102072</v>
      </c>
      <c r="J59" s="4">
        <f>TrainDevY1*(1+TrainDevGrowth)^57</f>
        <v>1205716.826551036</v>
      </c>
      <c r="K59" s="4">
        <f>AdminY1*(1+AdminGrowth)^57</f>
        <v>553942.02686332539</v>
      </c>
      <c r="L59" s="4">
        <f t="shared" si="2"/>
        <v>6134993.7031865204</v>
      </c>
      <c r="M59" s="4">
        <f t="shared" si="3"/>
        <v>44713638.558193021</v>
      </c>
    </row>
    <row r="60" spans="1:13" x14ac:dyDescent="0.2">
      <c r="A60" s="3">
        <f>StartYear+58</f>
        <v>2083</v>
      </c>
      <c r="B60" s="4">
        <f>FacultyFTE*HoursPerWeek*WeeksPerYear*RatePerHour*(1+PracticeGrowth)^58</f>
        <v>4879460.8049953859</v>
      </c>
      <c r="C60" s="4">
        <f>StudentsY1*(1+StudentGrowth)^58*CreditsPerStudent*TuitionPerCredit</f>
        <v>30496630.031221163</v>
      </c>
      <c r="D60" s="4">
        <f>SimRevY1*(1+SimGrowth)^58</f>
        <v>12581885.931463607</v>
      </c>
      <c r="E60" s="4">
        <f>FacDevRevY1*(1+FacDevGrowth)^58</f>
        <v>6290942.9657318033</v>
      </c>
      <c r="F60" s="4">
        <f t="shared" si="0"/>
        <v>49369458.928416565</v>
      </c>
      <c r="G60" s="4">
        <f t="shared" si="1"/>
        <v>54248919.733411953</v>
      </c>
      <c r="H60" s="4">
        <f>SalaryFTECount*SalaryPerFTE*(1+SalaryGrowth)^58</f>
        <v>2042457.2445368904</v>
      </c>
      <c r="I60" s="4">
        <f>SimOpsY1*(1+SimOpsGrowth)^58</f>
        <v>2604348.345350238</v>
      </c>
      <c r="J60" s="4">
        <f>TrainDevY1*(1+TrainDevGrowth)^58</f>
        <v>1302174.172675119</v>
      </c>
      <c r="K60" s="4">
        <f>AdminY1*(1+AdminGrowth)^58</f>
        <v>587178.54847512487</v>
      </c>
      <c r="L60" s="4">
        <f t="shared" si="2"/>
        <v>6536158.3110373719</v>
      </c>
      <c r="M60" s="4">
        <f t="shared" si="3"/>
        <v>47712761.422374584</v>
      </c>
    </row>
    <row r="61" spans="1:13" x14ac:dyDescent="0.2">
      <c r="A61" s="3">
        <f>StartYear+59</f>
        <v>2084</v>
      </c>
      <c r="B61" s="4">
        <f>FacultyFTE*HoursPerWeek*WeeksPerYear*RatePerHour*(1+PracticeGrowth)^59</f>
        <v>5123433.8452451555</v>
      </c>
      <c r="C61" s="4">
        <f>StudentsY1*(1+StudentGrowth)^59*CreditsPerStudent*TuitionPerCredit</f>
        <v>32021461.532782223</v>
      </c>
      <c r="D61" s="4">
        <f>SimRevY1*(1+SimGrowth)^59</f>
        <v>13840074.524609972</v>
      </c>
      <c r="E61" s="4">
        <f>FacDevRevY1*(1+FacDevGrowth)^59</f>
        <v>6920037.2623049859</v>
      </c>
      <c r="F61" s="4">
        <f t="shared" si="0"/>
        <v>52781573.319697179</v>
      </c>
      <c r="G61" s="4">
        <f t="shared" si="1"/>
        <v>57905007.164942332</v>
      </c>
      <c r="H61" s="4">
        <f>SalaryFTECount*SalaryPerFTE*(1+SalaryGrowth)^59</f>
        <v>2124155.5343183661</v>
      </c>
      <c r="I61" s="4">
        <f>SimOpsY1*(1+SimOpsGrowth)^59</f>
        <v>2812696.2129782569</v>
      </c>
      <c r="J61" s="4">
        <f>TrainDevY1*(1+TrainDevGrowth)^59</f>
        <v>1406348.1064891284</v>
      </c>
      <c r="K61" s="4">
        <f>AdminY1*(1+AdminGrowth)^59</f>
        <v>622409.26138363255</v>
      </c>
      <c r="L61" s="4">
        <f t="shared" si="2"/>
        <v>6965609.1151693836</v>
      </c>
      <c r="M61" s="4">
        <f t="shared" si="3"/>
        <v>50939398.049772948</v>
      </c>
    </row>
    <row r="62" spans="1:13" x14ac:dyDescent="0.2">
      <c r="A62" s="3">
        <f>StartYear+60</f>
        <v>2085</v>
      </c>
      <c r="B62" s="4">
        <f>FacultyFTE*HoursPerWeek*WeeksPerYear*RatePerHour*(1+PracticeGrowth)^60</f>
        <v>5379605.537507412</v>
      </c>
      <c r="C62" s="4">
        <f>StudentsY1*(1+StudentGrowth)^60*CreditsPerStudent*TuitionPerCredit</f>
        <v>33622534.609421328</v>
      </c>
      <c r="D62" s="4">
        <f>SimRevY1*(1+SimGrowth)^60</f>
        <v>15224081.977070967</v>
      </c>
      <c r="E62" s="4">
        <f>FacDevRevY1*(1+FacDevGrowth)^60</f>
        <v>7612040.9885354834</v>
      </c>
      <c r="F62" s="4">
        <f t="shared" si="0"/>
        <v>56458657.575027779</v>
      </c>
      <c r="G62" s="4">
        <f t="shared" si="1"/>
        <v>61838263.112535194</v>
      </c>
      <c r="H62" s="4">
        <f>SalaryFTECount*SalaryPerFTE*(1+SalaryGrowth)^60</f>
        <v>2209121.7556911013</v>
      </c>
      <c r="I62" s="4">
        <f>SimOpsY1*(1+SimOpsGrowth)^60</f>
        <v>3037711.9100165176</v>
      </c>
      <c r="J62" s="4">
        <f>TrainDevY1*(1+TrainDevGrowth)^60</f>
        <v>1518855.9550082588</v>
      </c>
      <c r="K62" s="4">
        <f>AdminY1*(1+AdminGrowth)^60</f>
        <v>659753.81706665049</v>
      </c>
      <c r="L62" s="4">
        <f t="shared" si="2"/>
        <v>7425443.4377825288</v>
      </c>
      <c r="M62" s="4">
        <f t="shared" si="3"/>
        <v>54412819.674752668</v>
      </c>
    </row>
    <row r="63" spans="1:13" x14ac:dyDescent="0.2">
      <c r="A63" s="3">
        <f>StartYear+61</f>
        <v>2086</v>
      </c>
      <c r="B63" s="4">
        <f>FacultyFTE*HoursPerWeek*WeeksPerYear*RatePerHour*(1+PracticeGrowth)^61</f>
        <v>5648585.8143827841</v>
      </c>
      <c r="C63" s="4">
        <f>StudentsY1*(1+StudentGrowth)^61*CreditsPerStudent*TuitionPerCredit</f>
        <v>35303661.339892402</v>
      </c>
      <c r="D63" s="4">
        <f>SimRevY1*(1+SimGrowth)^61</f>
        <v>16746490.174778067</v>
      </c>
      <c r="E63" s="4">
        <f>FacDevRevY1*(1+FacDevGrowth)^61</f>
        <v>8373245.0873890333</v>
      </c>
      <c r="F63" s="4">
        <f t="shared" si="0"/>
        <v>60423396.602059498</v>
      </c>
      <c r="G63" s="4">
        <f t="shared" si="1"/>
        <v>66071982.416442282</v>
      </c>
      <c r="H63" s="4">
        <f>SalaryFTECount*SalaryPerFTE*(1+SalaryGrowth)^61</f>
        <v>2297486.6259187455</v>
      </c>
      <c r="I63" s="4">
        <f>SimOpsY1*(1+SimOpsGrowth)^61</f>
        <v>3280728.8628178393</v>
      </c>
      <c r="J63" s="4">
        <f>TrainDevY1*(1+TrainDevGrowth)^61</f>
        <v>1640364.4314089196</v>
      </c>
      <c r="K63" s="4">
        <f>AdminY1*(1+AdminGrowth)^61</f>
        <v>699339.04609064967</v>
      </c>
      <c r="L63" s="4">
        <f t="shared" si="2"/>
        <v>7917918.9662361536</v>
      </c>
      <c r="M63" s="4">
        <f t="shared" si="3"/>
        <v>58154063.450206131</v>
      </c>
    </row>
    <row r="64" spans="1:13" x14ac:dyDescent="0.2">
      <c r="A64" s="3">
        <f>StartYear+62</f>
        <v>2087</v>
      </c>
      <c r="B64" s="4">
        <f>FacultyFTE*HoursPerWeek*WeeksPerYear*RatePerHour*(1+PracticeGrowth)^62</f>
        <v>5931015.1051019207</v>
      </c>
      <c r="C64" s="4">
        <f>StudentsY1*(1+StudentGrowth)^62*CreditsPerStudent*TuitionPerCredit</f>
        <v>37068844.406887002</v>
      </c>
      <c r="D64" s="4">
        <f>SimRevY1*(1+SimGrowth)^62</f>
        <v>18421139.192255877</v>
      </c>
      <c r="E64" s="4">
        <f>FacDevRevY1*(1+FacDevGrowth)^62</f>
        <v>9210569.5961279385</v>
      </c>
      <c r="F64" s="4">
        <f t="shared" si="0"/>
        <v>64700553.195270821</v>
      </c>
      <c r="G64" s="4">
        <f t="shared" si="1"/>
        <v>70631568.30037275</v>
      </c>
      <c r="H64" s="4">
        <f>SalaryFTECount*SalaryPerFTE*(1+SalaryGrowth)^62</f>
        <v>2389386.0909554949</v>
      </c>
      <c r="I64" s="4">
        <f>SimOpsY1*(1+SimOpsGrowth)^62</f>
        <v>3543187.1718432666</v>
      </c>
      <c r="J64" s="4">
        <f>TrainDevY1*(1+TrainDevGrowth)^62</f>
        <v>1771593.5859216333</v>
      </c>
      <c r="K64" s="4">
        <f>AdminY1*(1+AdminGrowth)^62</f>
        <v>741299.38885608863</v>
      </c>
      <c r="L64" s="4">
        <f t="shared" si="2"/>
        <v>8445466.2375764828</v>
      </c>
      <c r="M64" s="4">
        <f t="shared" si="3"/>
        <v>62186102.062796265</v>
      </c>
    </row>
    <row r="65" spans="1:13" x14ac:dyDescent="0.2">
      <c r="A65" s="3">
        <f>StartYear+63</f>
        <v>2088</v>
      </c>
      <c r="B65" s="4">
        <f>FacultyFTE*HoursPerWeek*WeeksPerYear*RatePerHour*(1+PracticeGrowth)^63</f>
        <v>6227565.8603570201</v>
      </c>
      <c r="C65" s="4">
        <f>StudentsY1*(1+StudentGrowth)^63*CreditsPerStudent*TuitionPerCredit</f>
        <v>38922286.627231374</v>
      </c>
      <c r="D65" s="4">
        <f>SimRevY1*(1+SimGrowth)^63</f>
        <v>20263253.111481462</v>
      </c>
      <c r="E65" s="4">
        <f>FacDevRevY1*(1+FacDevGrowth)^63</f>
        <v>10131626.555740731</v>
      </c>
      <c r="F65" s="4">
        <f t="shared" si="0"/>
        <v>69317166.294453561</v>
      </c>
      <c r="G65" s="4">
        <f t="shared" si="1"/>
        <v>75544732.154810578</v>
      </c>
      <c r="H65" s="4">
        <f>SalaryFTECount*SalaryPerFTE*(1+SalaryGrowth)^63</f>
        <v>2484961.5345937149</v>
      </c>
      <c r="I65" s="4">
        <f>SimOpsY1*(1+SimOpsGrowth)^63</f>
        <v>3826642.1455907286</v>
      </c>
      <c r="J65" s="4">
        <f>TrainDevY1*(1+TrainDevGrowth)^63</f>
        <v>1913321.0727953643</v>
      </c>
      <c r="K65" s="4">
        <f>AdminY1*(1+AdminGrowth)^63</f>
        <v>785777.35218745412</v>
      </c>
      <c r="L65" s="4">
        <f t="shared" si="2"/>
        <v>9010702.1051672623</v>
      </c>
      <c r="M65" s="4">
        <f t="shared" si="3"/>
        <v>66534030.049643315</v>
      </c>
    </row>
    <row r="66" spans="1:13" x14ac:dyDescent="0.2">
      <c r="A66" s="3">
        <f>StartYear+64</f>
        <v>2089</v>
      </c>
      <c r="B66" s="4">
        <f>FacultyFTE*HoursPerWeek*WeeksPerYear*RatePerHour*(1+PracticeGrowth)^64</f>
        <v>6538944.1533748703</v>
      </c>
      <c r="C66" s="4">
        <f>StudentsY1*(1+StudentGrowth)^64*CreditsPerStudent*TuitionPerCredit</f>
        <v>40868400.958592936</v>
      </c>
      <c r="D66" s="4">
        <f>SimRevY1*(1+SimGrowth)^64</f>
        <v>22289578.42262961</v>
      </c>
      <c r="E66" s="4">
        <f>FacDevRevY1*(1+FacDevGrowth)^64</f>
        <v>11144789.211314805</v>
      </c>
      <c r="F66" s="4">
        <f t="shared" ref="F66:F129" si="4">C66+D66+E66</f>
        <v>74302768.592537344</v>
      </c>
      <c r="G66" s="4">
        <f t="shared" ref="G66:G129" si="5">B66+F66</f>
        <v>80841712.745912209</v>
      </c>
      <c r="H66" s="4">
        <f>SalaryFTECount*SalaryPerFTE*(1+SalaryGrowth)^64</f>
        <v>2584359.9959774637</v>
      </c>
      <c r="I66" s="4">
        <f>SimOpsY1*(1+SimOpsGrowth)^64</f>
        <v>4132773.5172379874</v>
      </c>
      <c r="J66" s="4">
        <f>TrainDevY1*(1+TrainDevGrowth)^64</f>
        <v>2066386.7586189937</v>
      </c>
      <c r="K66" s="4">
        <f>AdminY1*(1+AdminGrowth)^64</f>
        <v>832923.99331870116</v>
      </c>
      <c r="L66" s="4">
        <f t="shared" ref="L66:L129" si="6">SUM(H66:K66)</f>
        <v>9616444.2651531454</v>
      </c>
      <c r="M66" s="4">
        <f t="shared" ref="M66:M129" si="7">G66-L66</f>
        <v>71225268.480759069</v>
      </c>
    </row>
    <row r="67" spans="1:13" x14ac:dyDescent="0.2">
      <c r="A67" s="3">
        <f>StartYear+65</f>
        <v>2090</v>
      </c>
      <c r="B67" s="4">
        <f>FacultyFTE*HoursPerWeek*WeeksPerYear*RatePerHour*(1+PracticeGrowth)^65</f>
        <v>6865891.3610436143</v>
      </c>
      <c r="C67" s="4">
        <f>StudentsY1*(1+StudentGrowth)^65*CreditsPerStudent*TuitionPerCredit</f>
        <v>42911821.006522596</v>
      </c>
      <c r="D67" s="4">
        <f>SimRevY1*(1+SimGrowth)^65</f>
        <v>24518536.264892571</v>
      </c>
      <c r="E67" s="4">
        <f>FacDevRevY1*(1+FacDevGrowth)^65</f>
        <v>12259268.132446285</v>
      </c>
      <c r="F67" s="4">
        <f t="shared" si="4"/>
        <v>79689625.403861463</v>
      </c>
      <c r="G67" s="4">
        <f t="shared" si="5"/>
        <v>86555516.76490508</v>
      </c>
      <c r="H67" s="4">
        <f>SalaryFTECount*SalaryPerFTE*(1+SalaryGrowth)^65</f>
        <v>2687734.3958165627</v>
      </c>
      <c r="I67" s="4">
        <f>SimOpsY1*(1+SimOpsGrowth)^65</f>
        <v>4463395.3986170264</v>
      </c>
      <c r="J67" s="4">
        <f>TrainDevY1*(1+TrainDevGrowth)^65</f>
        <v>2231697.6993085132</v>
      </c>
      <c r="K67" s="4">
        <f>AdminY1*(1+AdminGrowth)^65</f>
        <v>882899.4329178232</v>
      </c>
      <c r="L67" s="4">
        <f t="shared" si="6"/>
        <v>10265726.926659927</v>
      </c>
      <c r="M67" s="4">
        <f t="shared" si="7"/>
        <v>76289789.838245153</v>
      </c>
    </row>
    <row r="68" spans="1:13" x14ac:dyDescent="0.2">
      <c r="A68" s="3">
        <f>StartYear+66</f>
        <v>2091</v>
      </c>
      <c r="B68" s="4">
        <f>FacultyFTE*HoursPerWeek*WeeksPerYear*RatePerHour*(1+PracticeGrowth)^66</f>
        <v>7209185.9290957944</v>
      </c>
      <c r="C68" s="4">
        <f>StudentsY1*(1+StudentGrowth)^66*CreditsPerStudent*TuitionPerCredit</f>
        <v>45057412.05684872</v>
      </c>
      <c r="D68" s="4">
        <f>SimRevY1*(1+SimGrowth)^66</f>
        <v>26970389.89138183</v>
      </c>
      <c r="E68" s="4">
        <f>FacDevRevY1*(1+FacDevGrowth)^66</f>
        <v>13485194.945690915</v>
      </c>
      <c r="F68" s="4">
        <f t="shared" si="4"/>
        <v>85512996.893921465</v>
      </c>
      <c r="G68" s="4">
        <f t="shared" si="5"/>
        <v>92722182.823017254</v>
      </c>
      <c r="H68" s="4">
        <f>SalaryFTECount*SalaryPerFTE*(1+SalaryGrowth)^66</f>
        <v>2795243.7716492251</v>
      </c>
      <c r="I68" s="4">
        <f>SimOpsY1*(1+SimOpsGrowth)^66</f>
        <v>4820467.0305063883</v>
      </c>
      <c r="J68" s="4">
        <f>TrainDevY1*(1+TrainDevGrowth)^66</f>
        <v>2410233.5152531941</v>
      </c>
      <c r="K68" s="4">
        <f>AdminY1*(1+AdminGrowth)^66</f>
        <v>935873.39889289264</v>
      </c>
      <c r="L68" s="4">
        <f t="shared" si="6"/>
        <v>10961817.7163017</v>
      </c>
      <c r="M68" s="4">
        <f t="shared" si="7"/>
        <v>81760365.10671556</v>
      </c>
    </row>
    <row r="69" spans="1:13" x14ac:dyDescent="0.2">
      <c r="A69" s="3">
        <f>StartYear+67</f>
        <v>2092</v>
      </c>
      <c r="B69" s="4">
        <f>FacultyFTE*HoursPerWeek*WeeksPerYear*RatePerHour*(1+PracticeGrowth)^67</f>
        <v>7569645.2255505854</v>
      </c>
      <c r="C69" s="4">
        <f>StudentsY1*(1+StudentGrowth)^67*CreditsPerStudent*TuitionPerCredit</f>
        <v>47310282.659691162</v>
      </c>
      <c r="D69" s="4">
        <f>SimRevY1*(1+SimGrowth)^67</f>
        <v>29667428.88052002</v>
      </c>
      <c r="E69" s="4">
        <f>FacDevRevY1*(1+FacDevGrowth)^67</f>
        <v>14833714.44026001</v>
      </c>
      <c r="F69" s="4">
        <f t="shared" si="4"/>
        <v>91811425.980471194</v>
      </c>
      <c r="G69" s="4">
        <f t="shared" si="5"/>
        <v>99381071.206021786</v>
      </c>
      <c r="H69" s="4">
        <f>SalaryFTECount*SalaryPerFTE*(1+SalaryGrowth)^67</f>
        <v>2907053.522515194</v>
      </c>
      <c r="I69" s="4">
        <f>SimOpsY1*(1+SimOpsGrowth)^67</f>
        <v>5206104.3929468999</v>
      </c>
      <c r="J69" s="4">
        <f>TrainDevY1*(1+TrainDevGrowth)^67</f>
        <v>2603052.1964734499</v>
      </c>
      <c r="K69" s="4">
        <f>AdminY1*(1+AdminGrowth)^67</f>
        <v>992025.80282646639</v>
      </c>
      <c r="L69" s="4">
        <f t="shared" si="6"/>
        <v>11708235.914762009</v>
      </c>
      <c r="M69" s="4">
        <f t="shared" si="7"/>
        <v>87672835.291259781</v>
      </c>
    </row>
    <row r="70" spans="1:13" x14ac:dyDescent="0.2">
      <c r="A70" s="3">
        <f>StartYear+68</f>
        <v>2093</v>
      </c>
      <c r="B70" s="4">
        <f>FacultyFTE*HoursPerWeek*WeeksPerYear*RatePerHour*(1+PracticeGrowth)^68</f>
        <v>7948127.4868281139</v>
      </c>
      <c r="C70" s="4">
        <f>StudentsY1*(1+StudentGrowth)^68*CreditsPerStudent*TuitionPerCredit</f>
        <v>49675796.792675711</v>
      </c>
      <c r="D70" s="4">
        <f>SimRevY1*(1+SimGrowth)^68</f>
        <v>32634171.768572021</v>
      </c>
      <c r="E70" s="4">
        <f>FacDevRevY1*(1+FacDevGrowth)^68</f>
        <v>16317085.884286011</v>
      </c>
      <c r="F70" s="4">
        <f t="shared" si="4"/>
        <v>98627054.445533752</v>
      </c>
      <c r="G70" s="4">
        <f t="shared" si="5"/>
        <v>106575181.93236187</v>
      </c>
      <c r="H70" s="4">
        <f>SalaryFTECount*SalaryPerFTE*(1+SalaryGrowth)^68</f>
        <v>3023335.6634158022</v>
      </c>
      <c r="I70" s="4">
        <f>SimOpsY1*(1+SimOpsGrowth)^68</f>
        <v>5622592.7443826525</v>
      </c>
      <c r="J70" s="4">
        <f>TrainDevY1*(1+TrainDevGrowth)^68</f>
        <v>2811296.3721913262</v>
      </c>
      <c r="K70" s="4">
        <f>AdminY1*(1+AdminGrowth)^68</f>
        <v>1051547.3509960545</v>
      </c>
      <c r="L70" s="4">
        <f t="shared" si="6"/>
        <v>12508772.130985836</v>
      </c>
      <c r="M70" s="4">
        <f t="shared" si="7"/>
        <v>94066409.80137603</v>
      </c>
    </row>
    <row r="71" spans="1:13" x14ac:dyDescent="0.2">
      <c r="A71" s="3">
        <f>StartYear+69</f>
        <v>2094</v>
      </c>
      <c r="B71" s="4">
        <f>FacultyFTE*HoursPerWeek*WeeksPerYear*RatePerHour*(1+PracticeGrowth)^69</f>
        <v>8345533.8611695198</v>
      </c>
      <c r="C71" s="4">
        <f>StudentsY1*(1+StudentGrowth)^69*CreditsPerStudent*TuitionPerCredit</f>
        <v>52159586.632309504</v>
      </c>
      <c r="D71" s="4">
        <f>SimRevY1*(1+SimGrowth)^69</f>
        <v>35897588.945429228</v>
      </c>
      <c r="E71" s="4">
        <f>FacDevRevY1*(1+FacDevGrowth)^69</f>
        <v>17948794.472714614</v>
      </c>
      <c r="F71" s="4">
        <f t="shared" si="4"/>
        <v>106005970.05045335</v>
      </c>
      <c r="G71" s="4">
        <f t="shared" si="5"/>
        <v>114351503.91162287</v>
      </c>
      <c r="H71" s="4">
        <f>SalaryFTECount*SalaryPerFTE*(1+SalaryGrowth)^69</f>
        <v>3144269.0899524344</v>
      </c>
      <c r="I71" s="4">
        <f>SimOpsY1*(1+SimOpsGrowth)^69</f>
        <v>6072400.1639332641</v>
      </c>
      <c r="J71" s="4">
        <f>TrainDevY1*(1+TrainDevGrowth)^69</f>
        <v>3036200.081966632</v>
      </c>
      <c r="K71" s="4">
        <f>AdminY1*(1+AdminGrowth)^69</f>
        <v>1114640.1920558177</v>
      </c>
      <c r="L71" s="4">
        <f t="shared" si="6"/>
        <v>13367509.527908146</v>
      </c>
      <c r="M71" s="4">
        <f t="shared" si="7"/>
        <v>100983994.38371472</v>
      </c>
    </row>
    <row r="72" spans="1:13" x14ac:dyDescent="0.2">
      <c r="A72" s="3">
        <f>StartYear+70</f>
        <v>2095</v>
      </c>
      <c r="B72" s="4">
        <f>FacultyFTE*HoursPerWeek*WeeksPerYear*RatePerHour*(1+PracticeGrowth)^70</f>
        <v>8762810.5542279948</v>
      </c>
      <c r="C72" s="4">
        <f>StudentsY1*(1+StudentGrowth)^70*CreditsPerStudent*TuitionPerCredit</f>
        <v>54767565.963924974</v>
      </c>
      <c r="D72" s="4">
        <f>SimRevY1*(1+SimGrowth)^70</f>
        <v>39487347.839972153</v>
      </c>
      <c r="E72" s="4">
        <f>FacDevRevY1*(1+FacDevGrowth)^70</f>
        <v>19743673.919986077</v>
      </c>
      <c r="F72" s="4">
        <f t="shared" si="4"/>
        <v>113998587.72388321</v>
      </c>
      <c r="G72" s="4">
        <f t="shared" si="5"/>
        <v>122761398.2781112</v>
      </c>
      <c r="H72" s="4">
        <f>SalaryFTECount*SalaryPerFTE*(1+SalaryGrowth)^70</f>
        <v>3270039.8535505319</v>
      </c>
      <c r="I72" s="4">
        <f>SimOpsY1*(1+SimOpsGrowth)^70</f>
        <v>6558192.1770479269</v>
      </c>
      <c r="J72" s="4">
        <f>TrainDevY1*(1+TrainDevGrowth)^70</f>
        <v>3279096.0885239635</v>
      </c>
      <c r="K72" s="4">
        <f>AdminY1*(1+AdminGrowth)^70</f>
        <v>1181518.6035791668</v>
      </c>
      <c r="L72" s="4">
        <f t="shared" si="6"/>
        <v>14288846.722701589</v>
      </c>
      <c r="M72" s="4">
        <f t="shared" si="7"/>
        <v>108472551.55540961</v>
      </c>
    </row>
    <row r="73" spans="1:13" x14ac:dyDescent="0.2">
      <c r="A73" s="3">
        <f>StartYear+71</f>
        <v>2096</v>
      </c>
      <c r="B73" s="4">
        <f>FacultyFTE*HoursPerWeek*WeeksPerYear*RatePerHour*(1+PracticeGrowth)^71</f>
        <v>9200951.0819393955</v>
      </c>
      <c r="C73" s="4">
        <f>StudentsY1*(1+StudentGrowth)^71*CreditsPerStudent*TuitionPerCredit</f>
        <v>57505944.26212123</v>
      </c>
      <c r="D73" s="4">
        <f>SimRevY1*(1+SimGrowth)^71</f>
        <v>43436082.623969369</v>
      </c>
      <c r="E73" s="4">
        <f>FacDevRevY1*(1+FacDevGrowth)^71</f>
        <v>21718041.311984684</v>
      </c>
      <c r="F73" s="4">
        <f t="shared" si="4"/>
        <v>122660068.19807529</v>
      </c>
      <c r="G73" s="4">
        <f t="shared" si="5"/>
        <v>131861019.28001469</v>
      </c>
      <c r="H73" s="4">
        <f>SalaryFTECount*SalaryPerFTE*(1+SalaryGrowth)^71</f>
        <v>3400841.4476925526</v>
      </c>
      <c r="I73" s="4">
        <f>SimOpsY1*(1+SimOpsGrowth)^71</f>
        <v>7082847.5512117613</v>
      </c>
      <c r="J73" s="4">
        <f>TrainDevY1*(1+TrainDevGrowth)^71</f>
        <v>3541423.7756058807</v>
      </c>
      <c r="K73" s="4">
        <f>AdminY1*(1+AdminGrowth)^71</f>
        <v>1252409.7197939171</v>
      </c>
      <c r="L73" s="4">
        <f t="shared" si="6"/>
        <v>15277522.494304111</v>
      </c>
      <c r="M73" s="4">
        <f t="shared" si="7"/>
        <v>116583496.78571059</v>
      </c>
    </row>
    <row r="74" spans="1:13" x14ac:dyDescent="0.2">
      <c r="A74" s="3">
        <f>StartYear+72</f>
        <v>2097</v>
      </c>
      <c r="B74" s="4">
        <f>FacultyFTE*HoursPerWeek*WeeksPerYear*RatePerHour*(1+PracticeGrowth)^72</f>
        <v>9660998.6360363662</v>
      </c>
      <c r="C74" s="4">
        <f>StudentsY1*(1+StudentGrowth)^72*CreditsPerStudent*TuitionPerCredit</f>
        <v>60381241.475227281</v>
      </c>
      <c r="D74" s="4">
        <f>SimRevY1*(1+SimGrowth)^72</f>
        <v>47779690.886366308</v>
      </c>
      <c r="E74" s="4">
        <f>FacDevRevY1*(1+FacDevGrowth)^72</f>
        <v>23889845.443183154</v>
      </c>
      <c r="F74" s="4">
        <f t="shared" si="4"/>
        <v>132050777.80477674</v>
      </c>
      <c r="G74" s="4">
        <f t="shared" si="5"/>
        <v>141711776.44081312</v>
      </c>
      <c r="H74" s="4">
        <f>SalaryFTECount*SalaryPerFTE*(1+SalaryGrowth)^72</f>
        <v>3536875.1056002555</v>
      </c>
      <c r="I74" s="4">
        <f>SimOpsY1*(1+SimOpsGrowth)^72</f>
        <v>7649475.3553087022</v>
      </c>
      <c r="J74" s="4">
        <f>TrainDevY1*(1+TrainDevGrowth)^72</f>
        <v>3824737.6776543511</v>
      </c>
      <c r="K74" s="4">
        <f>AdminY1*(1+AdminGrowth)^72</f>
        <v>1327554.302981552</v>
      </c>
      <c r="L74" s="4">
        <f t="shared" si="6"/>
        <v>16338642.441544861</v>
      </c>
      <c r="M74" s="4">
        <f t="shared" si="7"/>
        <v>125373133.99926826</v>
      </c>
    </row>
    <row r="75" spans="1:13" x14ac:dyDescent="0.2">
      <c r="A75" s="3">
        <f>StartYear+73</f>
        <v>2098</v>
      </c>
      <c r="B75" s="4">
        <f>FacultyFTE*HoursPerWeek*WeeksPerYear*RatePerHour*(1+PracticeGrowth)^73</f>
        <v>10144048.567838183</v>
      </c>
      <c r="C75" s="4">
        <f>StudentsY1*(1+StudentGrowth)^73*CreditsPerStudent*TuitionPerCredit</f>
        <v>63400303.548988648</v>
      </c>
      <c r="D75" s="4">
        <f>SimRevY1*(1+SimGrowth)^73</f>
        <v>52557659.975002944</v>
      </c>
      <c r="E75" s="4">
        <f>FacDevRevY1*(1+FacDevGrowth)^73</f>
        <v>26278829.987501472</v>
      </c>
      <c r="F75" s="4">
        <f t="shared" si="4"/>
        <v>142236793.51149306</v>
      </c>
      <c r="G75" s="4">
        <f t="shared" si="5"/>
        <v>152380842.07933125</v>
      </c>
      <c r="H75" s="4">
        <f>SalaryFTECount*SalaryPerFTE*(1+SalaryGrowth)^73</f>
        <v>3678350.1098242658</v>
      </c>
      <c r="I75" s="4">
        <f>SimOpsY1*(1+SimOpsGrowth)^73</f>
        <v>8261433.3837333992</v>
      </c>
      <c r="J75" s="4">
        <f>TrainDevY1*(1+TrainDevGrowth)^73</f>
        <v>4130716.6918666996</v>
      </c>
      <c r="K75" s="4">
        <f>AdminY1*(1+AdminGrowth)^73</f>
        <v>1407207.561160445</v>
      </c>
      <c r="L75" s="4">
        <f t="shared" si="6"/>
        <v>17477707.74658481</v>
      </c>
      <c r="M75" s="4">
        <f t="shared" si="7"/>
        <v>134903134.33274645</v>
      </c>
    </row>
    <row r="76" spans="1:13" x14ac:dyDescent="0.2">
      <c r="A76" s="3">
        <f>StartYear+74</f>
        <v>2099</v>
      </c>
      <c r="B76" s="4">
        <f>FacultyFTE*HoursPerWeek*WeeksPerYear*RatePerHour*(1+PracticeGrowth)^74</f>
        <v>10651250.996230092</v>
      </c>
      <c r="C76" s="4">
        <f>StudentsY1*(1+StudentGrowth)^74*CreditsPerStudent*TuitionPerCredit</f>
        <v>66570318.726438075</v>
      </c>
      <c r="D76" s="4">
        <f>SimRevY1*(1+SimGrowth)^74</f>
        <v>57813425.972503237</v>
      </c>
      <c r="E76" s="4">
        <f>FacDevRevY1*(1+FacDevGrowth)^74</f>
        <v>28906712.986251619</v>
      </c>
      <c r="F76" s="4">
        <f t="shared" si="4"/>
        <v>153290457.68519294</v>
      </c>
      <c r="G76" s="4">
        <f t="shared" si="5"/>
        <v>163941708.68142304</v>
      </c>
      <c r="H76" s="4">
        <f>SalaryFTECount*SalaryPerFTE*(1+SalaryGrowth)^74</f>
        <v>3825484.1142172371</v>
      </c>
      <c r="I76" s="4">
        <f>SimOpsY1*(1+SimOpsGrowth)^74</f>
        <v>8922348.0544320717</v>
      </c>
      <c r="J76" s="4">
        <f>TrainDevY1*(1+TrainDevGrowth)^74</f>
        <v>4461174.0272160359</v>
      </c>
      <c r="K76" s="4">
        <f>AdminY1*(1+AdminGrowth)^74</f>
        <v>1491640.0148300719</v>
      </c>
      <c r="L76" s="4">
        <f t="shared" si="6"/>
        <v>18700646.210695416</v>
      </c>
      <c r="M76" s="4">
        <f t="shared" si="7"/>
        <v>145241062.47072762</v>
      </c>
    </row>
    <row r="77" spans="1:13" x14ac:dyDescent="0.2">
      <c r="A77" s="3">
        <f>StartYear+75</f>
        <v>2100</v>
      </c>
      <c r="B77" s="4">
        <f>FacultyFTE*HoursPerWeek*WeeksPerYear*RatePerHour*(1+PracticeGrowth)^75</f>
        <v>11183813.546041599</v>
      </c>
      <c r="C77" s="4">
        <f>StudentsY1*(1+StudentGrowth)^75*CreditsPerStudent*TuitionPerCredit</f>
        <v>69898834.66275999</v>
      </c>
      <c r="D77" s="4">
        <f>SimRevY1*(1+SimGrowth)^75</f>
        <v>63594768.569753572</v>
      </c>
      <c r="E77" s="4">
        <f>FacDevRevY1*(1+FacDevGrowth)^75</f>
        <v>31797384.284876786</v>
      </c>
      <c r="F77" s="4">
        <f t="shared" si="4"/>
        <v>165290987.51739034</v>
      </c>
      <c r="G77" s="4">
        <f t="shared" si="5"/>
        <v>176474801.06343195</v>
      </c>
      <c r="H77" s="4">
        <f>SalaryFTECount*SalaryPerFTE*(1+SalaryGrowth)^75</f>
        <v>3978503.478785926</v>
      </c>
      <c r="I77" s="4">
        <f>SimOpsY1*(1+SimOpsGrowth)^75</f>
        <v>9636135.8987866379</v>
      </c>
      <c r="J77" s="4">
        <f>TrainDevY1*(1+TrainDevGrowth)^75</f>
        <v>4818067.949393319</v>
      </c>
      <c r="K77" s="4">
        <f>AdminY1*(1+AdminGrowth)^75</f>
        <v>1581138.4157198765</v>
      </c>
      <c r="L77" s="4">
        <f t="shared" si="6"/>
        <v>20013845.742685761</v>
      </c>
      <c r="M77" s="4">
        <f t="shared" si="7"/>
        <v>156460955.32074618</v>
      </c>
    </row>
    <row r="78" spans="1:13" x14ac:dyDescent="0.2">
      <c r="A78" s="3">
        <f>StartYear+76</f>
        <v>2101</v>
      </c>
      <c r="B78" s="4">
        <f>FacultyFTE*HoursPerWeek*WeeksPerYear*RatePerHour*(1+PracticeGrowth)^76</f>
        <v>11743004.223343676</v>
      </c>
      <c r="C78" s="4">
        <f>StudentsY1*(1+StudentGrowth)^76*CreditsPerStudent*TuitionPerCredit</f>
        <v>73393776.39589797</v>
      </c>
      <c r="D78" s="4">
        <f>SimRevY1*(1+SimGrowth)^76</f>
        <v>69954245.426728919</v>
      </c>
      <c r="E78" s="4">
        <f>FacDevRevY1*(1+FacDevGrowth)^76</f>
        <v>34977122.71336446</v>
      </c>
      <c r="F78" s="4">
        <f t="shared" si="4"/>
        <v>178325144.53599134</v>
      </c>
      <c r="G78" s="4">
        <f t="shared" si="5"/>
        <v>190068148.75933501</v>
      </c>
      <c r="H78" s="4">
        <f>SalaryFTECount*SalaryPerFTE*(1+SalaryGrowth)^76</f>
        <v>4137643.6179373637</v>
      </c>
      <c r="I78" s="4">
        <f>SimOpsY1*(1+SimOpsGrowth)^76</f>
        <v>10407026.770689568</v>
      </c>
      <c r="J78" s="4">
        <f>TrainDevY1*(1+TrainDevGrowth)^76</f>
        <v>5203513.3853447838</v>
      </c>
      <c r="K78" s="4">
        <f>AdminY1*(1+AdminGrowth)^76</f>
        <v>1676006.720663069</v>
      </c>
      <c r="L78" s="4">
        <f t="shared" si="6"/>
        <v>21424190.494634785</v>
      </c>
      <c r="M78" s="4">
        <f t="shared" si="7"/>
        <v>168643958.26470023</v>
      </c>
    </row>
    <row r="79" spans="1:13" x14ac:dyDescent="0.2">
      <c r="A79" s="3">
        <f>StartYear+77</f>
        <v>2102</v>
      </c>
      <c r="B79" s="4">
        <f>FacultyFTE*HoursPerWeek*WeeksPerYear*RatePerHour*(1+PracticeGrowth)^77</f>
        <v>12330154.434510862</v>
      </c>
      <c r="C79" s="4">
        <f>StudentsY1*(1+StudentGrowth)^77*CreditsPerStudent*TuitionPerCredit</f>
        <v>77063465.215692893</v>
      </c>
      <c r="D79" s="4">
        <f>SimRevY1*(1+SimGrowth)^77</f>
        <v>76949669.969401821</v>
      </c>
      <c r="E79" s="4">
        <f>FacDevRevY1*(1+FacDevGrowth)^77</f>
        <v>38474834.984700911</v>
      </c>
      <c r="F79" s="4">
        <f t="shared" si="4"/>
        <v>192487970.16979563</v>
      </c>
      <c r="G79" s="4">
        <f t="shared" si="5"/>
        <v>204818124.60430649</v>
      </c>
      <c r="H79" s="4">
        <f>SalaryFTECount*SalaryPerFTE*(1+SalaryGrowth)^77</f>
        <v>4303149.3626548583</v>
      </c>
      <c r="I79" s="4">
        <f>SimOpsY1*(1+SimOpsGrowth)^77</f>
        <v>11239588.912344733</v>
      </c>
      <c r="J79" s="4">
        <f>TrainDevY1*(1+TrainDevGrowth)^77</f>
        <v>5619794.4561723666</v>
      </c>
      <c r="K79" s="4">
        <f>AdminY1*(1+AdminGrowth)^77</f>
        <v>1776567.1239028536</v>
      </c>
      <c r="L79" s="4">
        <f t="shared" si="6"/>
        <v>22939099.855074812</v>
      </c>
      <c r="M79" s="4">
        <f t="shared" si="7"/>
        <v>181879024.74923167</v>
      </c>
    </row>
    <row r="80" spans="1:13" x14ac:dyDescent="0.2">
      <c r="A80" s="3">
        <f>StartYear+78</f>
        <v>2103</v>
      </c>
      <c r="B80" s="4">
        <f>FacultyFTE*HoursPerWeek*WeeksPerYear*RatePerHour*(1+PracticeGrowth)^78</f>
        <v>12946662.156236403</v>
      </c>
      <c r="C80" s="4">
        <f>StudentsY1*(1+StudentGrowth)^78*CreditsPerStudent*TuitionPerCredit</f>
        <v>80916638.476477519</v>
      </c>
      <c r="D80" s="4">
        <f>SimRevY1*(1+SimGrowth)^78</f>
        <v>84644636.966342017</v>
      </c>
      <c r="E80" s="4">
        <f>FacDevRevY1*(1+FacDevGrowth)^78</f>
        <v>42322318.483171009</v>
      </c>
      <c r="F80" s="4">
        <f t="shared" si="4"/>
        <v>207883593.92599055</v>
      </c>
      <c r="G80" s="4">
        <f t="shared" si="5"/>
        <v>220830256.08222696</v>
      </c>
      <c r="H80" s="4">
        <f>SalaryFTECount*SalaryPerFTE*(1+SalaryGrowth)^78</f>
        <v>4475275.337161053</v>
      </c>
      <c r="I80" s="4">
        <f>SimOpsY1*(1+SimOpsGrowth)^78</f>
        <v>12138756.025332315</v>
      </c>
      <c r="J80" s="4">
        <f>TrainDevY1*(1+TrainDevGrowth)^78</f>
        <v>6069378.0126661574</v>
      </c>
      <c r="K80" s="4">
        <f>AdminY1*(1+AdminGrowth)^78</f>
        <v>1883161.1513370245</v>
      </c>
      <c r="L80" s="4">
        <f t="shared" si="6"/>
        <v>24566570.526496548</v>
      </c>
      <c r="M80" s="4">
        <f t="shared" si="7"/>
        <v>196263685.5557304</v>
      </c>
    </row>
    <row r="81" spans="1:13" x14ac:dyDescent="0.2">
      <c r="A81" s="3">
        <f>StartYear+79</f>
        <v>2104</v>
      </c>
      <c r="B81" s="4">
        <f>FacultyFTE*HoursPerWeek*WeeksPerYear*RatePerHour*(1+PracticeGrowth)^79</f>
        <v>13593995.264048226</v>
      </c>
      <c r="C81" s="4">
        <f>StudentsY1*(1+StudentGrowth)^79*CreditsPerStudent*TuitionPerCredit</f>
        <v>84962470.400301412</v>
      </c>
      <c r="D81" s="4">
        <f>SimRevY1*(1+SimGrowth)^79</f>
        <v>93109100.66297622</v>
      </c>
      <c r="E81" s="4">
        <f>FacDevRevY1*(1+FacDevGrowth)^79</f>
        <v>46554550.33148811</v>
      </c>
      <c r="F81" s="4">
        <f t="shared" si="4"/>
        <v>224626121.39476573</v>
      </c>
      <c r="G81" s="4">
        <f t="shared" si="5"/>
        <v>238220116.65881395</v>
      </c>
      <c r="H81" s="4">
        <f>SalaryFTECount*SalaryPerFTE*(1+SalaryGrowth)^79</f>
        <v>4654286.3506474951</v>
      </c>
      <c r="I81" s="4">
        <f>SimOpsY1*(1+SimOpsGrowth)^79</f>
        <v>13109856.507358901</v>
      </c>
      <c r="J81" s="4">
        <f>TrainDevY1*(1+TrainDevGrowth)^79</f>
        <v>6554928.2536794506</v>
      </c>
      <c r="K81" s="4">
        <f>AdminY1*(1+AdminGrowth)^79</f>
        <v>1996150.8204172465</v>
      </c>
      <c r="L81" s="4">
        <f t="shared" si="6"/>
        <v>26315221.932103094</v>
      </c>
      <c r="M81" s="4">
        <f t="shared" si="7"/>
        <v>211904894.72671086</v>
      </c>
    </row>
    <row r="82" spans="1:13" x14ac:dyDescent="0.2">
      <c r="A82" s="3">
        <f>StartYear+80</f>
        <v>2105</v>
      </c>
      <c r="B82" s="4">
        <f>FacultyFTE*HoursPerWeek*WeeksPerYear*RatePerHour*(1+PracticeGrowth)^80</f>
        <v>14273695.027250638</v>
      </c>
      <c r="C82" s="4">
        <f>StudentsY1*(1+StudentGrowth)^80*CreditsPerStudent*TuitionPerCredit</f>
        <v>89210593.920316473</v>
      </c>
      <c r="D82" s="4">
        <f>SimRevY1*(1+SimGrowth)^80</f>
        <v>102420010.72927386</v>
      </c>
      <c r="E82" s="4">
        <f>FacDevRevY1*(1+FacDevGrowth)^80</f>
        <v>51210005.364636928</v>
      </c>
      <c r="F82" s="4">
        <f t="shared" si="4"/>
        <v>242840610.01422724</v>
      </c>
      <c r="G82" s="4">
        <f t="shared" si="5"/>
        <v>257114305.04147789</v>
      </c>
      <c r="H82" s="4">
        <f>SalaryFTECount*SalaryPerFTE*(1+SalaryGrowth)^80</f>
        <v>4840457.8046733961</v>
      </c>
      <c r="I82" s="4">
        <f>SimOpsY1*(1+SimOpsGrowth)^80</f>
        <v>14158645.027947612</v>
      </c>
      <c r="J82" s="4">
        <f>TrainDevY1*(1+TrainDevGrowth)^80</f>
        <v>7079322.5139738061</v>
      </c>
      <c r="K82" s="4">
        <f>AdminY1*(1+AdminGrowth)^80</f>
        <v>2115919.869642281</v>
      </c>
      <c r="L82" s="4">
        <f t="shared" si="6"/>
        <v>28194345.216237094</v>
      </c>
      <c r="M82" s="4">
        <f t="shared" si="7"/>
        <v>228919959.82524079</v>
      </c>
    </row>
    <row r="83" spans="1:13" x14ac:dyDescent="0.2">
      <c r="A83" s="3">
        <f>StartYear+81</f>
        <v>2106</v>
      </c>
      <c r="B83" s="4">
        <f>FacultyFTE*HoursPerWeek*WeeksPerYear*RatePerHour*(1+PracticeGrowth)^81</f>
        <v>14987379.778613171</v>
      </c>
      <c r="C83" s="4">
        <f>StudentsY1*(1+StudentGrowth)^81*CreditsPerStudent*TuitionPerCredit</f>
        <v>93671123.616332322</v>
      </c>
      <c r="D83" s="4">
        <f>SimRevY1*(1+SimGrowth)^81</f>
        <v>112662011.80220123</v>
      </c>
      <c r="E83" s="4">
        <f>FacDevRevY1*(1+FacDevGrowth)^81</f>
        <v>56331005.901100613</v>
      </c>
      <c r="F83" s="4">
        <f t="shared" si="4"/>
        <v>262664141.31963417</v>
      </c>
      <c r="G83" s="4">
        <f t="shared" si="5"/>
        <v>277651521.09824735</v>
      </c>
      <c r="H83" s="4">
        <f>SalaryFTECount*SalaryPerFTE*(1+SalaryGrowth)^81</f>
        <v>5034076.116860331</v>
      </c>
      <c r="I83" s="4">
        <f>SimOpsY1*(1+SimOpsGrowth)^81</f>
        <v>15291336.630183421</v>
      </c>
      <c r="J83" s="4">
        <f>TrainDevY1*(1+TrainDevGrowth)^81</f>
        <v>7645668.3150917105</v>
      </c>
      <c r="K83" s="4">
        <f>AdminY1*(1+AdminGrowth)^81</f>
        <v>2242875.0618208181</v>
      </c>
      <c r="L83" s="4">
        <f t="shared" si="6"/>
        <v>30213956.123956278</v>
      </c>
      <c r="M83" s="4">
        <f t="shared" si="7"/>
        <v>247437564.97429109</v>
      </c>
    </row>
    <row r="84" spans="1:13" x14ac:dyDescent="0.2">
      <c r="A84" s="3">
        <f>StartYear+82</f>
        <v>2107</v>
      </c>
      <c r="B84" s="4">
        <f>FacultyFTE*HoursPerWeek*WeeksPerYear*RatePerHour*(1+PracticeGrowth)^82</f>
        <v>15736748.76754383</v>
      </c>
      <c r="C84" s="4">
        <f>StudentsY1*(1+StudentGrowth)^82*CreditsPerStudent*TuitionPerCredit</f>
        <v>98354679.797148943</v>
      </c>
      <c r="D84" s="4">
        <f>SimRevY1*(1+SimGrowth)^82</f>
        <v>123928212.98242135</v>
      </c>
      <c r="E84" s="4">
        <f>FacDevRevY1*(1+FacDevGrowth)^82</f>
        <v>61964106.491210677</v>
      </c>
      <c r="F84" s="4">
        <f t="shared" si="4"/>
        <v>284246999.27078098</v>
      </c>
      <c r="G84" s="4">
        <f t="shared" si="5"/>
        <v>299983748.03832483</v>
      </c>
      <c r="H84" s="4">
        <f>SalaryFTECount*SalaryPerFTE*(1+SalaryGrowth)^82</f>
        <v>5235439.1615347452</v>
      </c>
      <c r="I84" s="4">
        <f>SimOpsY1*(1+SimOpsGrowth)^82</f>
        <v>16514643.560598098</v>
      </c>
      <c r="J84" s="4">
        <f>TrainDevY1*(1+TrainDevGrowth)^82</f>
        <v>8257321.7802990489</v>
      </c>
      <c r="K84" s="4">
        <f>AdminY1*(1+AdminGrowth)^82</f>
        <v>2377447.5655300673</v>
      </c>
      <c r="L84" s="4">
        <f t="shared" si="6"/>
        <v>32384852.067961961</v>
      </c>
      <c r="M84" s="4">
        <f t="shared" si="7"/>
        <v>267598895.97036287</v>
      </c>
    </row>
    <row r="85" spans="1:13" x14ac:dyDescent="0.2">
      <c r="A85" s="3">
        <f>StartYear+83</f>
        <v>2108</v>
      </c>
      <c r="B85" s="4">
        <f>FacultyFTE*HoursPerWeek*WeeksPerYear*RatePerHour*(1+PracticeGrowth)^83</f>
        <v>16523586.20592102</v>
      </c>
      <c r="C85" s="4">
        <f>StudentsY1*(1+StudentGrowth)^83*CreditsPerStudent*TuitionPerCredit</f>
        <v>103272413.78700638</v>
      </c>
      <c r="D85" s="4">
        <f>SimRevY1*(1+SimGrowth)^83</f>
        <v>136321034.28066355</v>
      </c>
      <c r="E85" s="4">
        <f>FacDevRevY1*(1+FacDevGrowth)^83</f>
        <v>68160517.140331775</v>
      </c>
      <c r="F85" s="4">
        <f t="shared" si="4"/>
        <v>307753965.20800173</v>
      </c>
      <c r="G85" s="4">
        <f t="shared" si="5"/>
        <v>324277551.41392273</v>
      </c>
      <c r="H85" s="4">
        <f>SalaryFTECount*SalaryPerFTE*(1+SalaryGrowth)^83</f>
        <v>5444856.7279961342</v>
      </c>
      <c r="I85" s="4">
        <f>SimOpsY1*(1+SimOpsGrowth)^83</f>
        <v>17835815.045445949</v>
      </c>
      <c r="J85" s="4">
        <f>TrainDevY1*(1+TrainDevGrowth)^83</f>
        <v>8917907.5227229744</v>
      </c>
      <c r="K85" s="4">
        <f>AdminY1*(1+AdminGrowth)^83</f>
        <v>2520094.4194618715</v>
      </c>
      <c r="L85" s="4">
        <f t="shared" si="6"/>
        <v>34718673.715626925</v>
      </c>
      <c r="M85" s="4">
        <f t="shared" si="7"/>
        <v>289558877.69829583</v>
      </c>
    </row>
    <row r="86" spans="1:13" x14ac:dyDescent="0.2">
      <c r="A86" s="3">
        <f>StartYear+84</f>
        <v>2109</v>
      </c>
      <c r="B86" s="4">
        <f>FacultyFTE*HoursPerWeek*WeeksPerYear*RatePerHour*(1+PracticeGrowth)^84</f>
        <v>17349765.516217072</v>
      </c>
      <c r="C86" s="4">
        <f>StudentsY1*(1+StudentGrowth)^84*CreditsPerStudent*TuitionPerCredit</f>
        <v>108436034.4763567</v>
      </c>
      <c r="D86" s="4">
        <f>SimRevY1*(1+SimGrowth)^84</f>
        <v>149953137.70872986</v>
      </c>
      <c r="E86" s="4">
        <f>FacDevRevY1*(1+FacDevGrowth)^84</f>
        <v>74976568.854364932</v>
      </c>
      <c r="F86" s="4">
        <f t="shared" si="4"/>
        <v>333365741.03945148</v>
      </c>
      <c r="G86" s="4">
        <f t="shared" si="5"/>
        <v>350715506.55566853</v>
      </c>
      <c r="H86" s="4">
        <f>SalaryFTECount*SalaryPerFTE*(1+SalaryGrowth)^84</f>
        <v>5662650.9971159799</v>
      </c>
      <c r="I86" s="4">
        <f>SimOpsY1*(1+SimOpsGrowth)^84</f>
        <v>19262680.249081623</v>
      </c>
      <c r="J86" s="4">
        <f>TrainDevY1*(1+TrainDevGrowth)^84</f>
        <v>9631340.1245408114</v>
      </c>
      <c r="K86" s="4">
        <f>AdminY1*(1+AdminGrowth)^84</f>
        <v>2671300.0846295836</v>
      </c>
      <c r="L86" s="4">
        <f t="shared" si="6"/>
        <v>37227971.455367997</v>
      </c>
      <c r="M86" s="4">
        <f t="shared" si="7"/>
        <v>313487535.10030055</v>
      </c>
    </row>
    <row r="87" spans="1:13" x14ac:dyDescent="0.2">
      <c r="A87" s="3">
        <f>StartYear+85</f>
        <v>2110</v>
      </c>
      <c r="B87" s="4">
        <f>FacultyFTE*HoursPerWeek*WeeksPerYear*RatePerHour*(1+PracticeGrowth)^85</f>
        <v>18217253.792027924</v>
      </c>
      <c r="C87" s="4">
        <f>StudentsY1*(1+StudentGrowth)^85*CreditsPerStudent*TuitionPerCredit</f>
        <v>113857836.20017453</v>
      </c>
      <c r="D87" s="4">
        <f>SimRevY1*(1+SimGrowth)^85</f>
        <v>164948451.47960287</v>
      </c>
      <c r="E87" s="4">
        <f>FacDevRevY1*(1+FacDevGrowth)^85</f>
        <v>82474225.739801437</v>
      </c>
      <c r="F87" s="4">
        <f t="shared" si="4"/>
        <v>361280513.41957879</v>
      </c>
      <c r="G87" s="4">
        <f t="shared" si="5"/>
        <v>379497767.21160674</v>
      </c>
      <c r="H87" s="4">
        <f>SalaryFTECount*SalaryPerFTE*(1+SalaryGrowth)^85</f>
        <v>5889157.0370006207</v>
      </c>
      <c r="I87" s="4">
        <f>SimOpsY1*(1+SimOpsGrowth)^85</f>
        <v>20803694.669008154</v>
      </c>
      <c r="J87" s="4">
        <f>TrainDevY1*(1+TrainDevGrowth)^85</f>
        <v>10401847.334504077</v>
      </c>
      <c r="K87" s="4">
        <f>AdminY1*(1+AdminGrowth)^85</f>
        <v>2831578.0897073592</v>
      </c>
      <c r="L87" s="4">
        <f t="shared" si="6"/>
        <v>39926277.130220212</v>
      </c>
      <c r="M87" s="4">
        <f t="shared" si="7"/>
        <v>339571490.08138651</v>
      </c>
    </row>
    <row r="88" spans="1:13" x14ac:dyDescent="0.2">
      <c r="A88" s="3">
        <f>StartYear+86</f>
        <v>2111</v>
      </c>
      <c r="B88" s="4">
        <f>FacultyFTE*HoursPerWeek*WeeksPerYear*RatePerHour*(1+PracticeGrowth)^86</f>
        <v>19128116.481629319</v>
      </c>
      <c r="C88" s="4">
        <f>StudentsY1*(1+StudentGrowth)^86*CreditsPerStudent*TuitionPerCredit</f>
        <v>119550728.01018323</v>
      </c>
      <c r="D88" s="4">
        <f>SimRevY1*(1+SimGrowth)^86</f>
        <v>181443296.62756321</v>
      </c>
      <c r="E88" s="4">
        <f>FacDevRevY1*(1+FacDevGrowth)^86</f>
        <v>90721648.313781604</v>
      </c>
      <c r="F88" s="4">
        <f t="shared" si="4"/>
        <v>391715672.95152807</v>
      </c>
      <c r="G88" s="4">
        <f t="shared" si="5"/>
        <v>410843789.43315738</v>
      </c>
      <c r="H88" s="4">
        <f>SalaryFTECount*SalaryPerFTE*(1+SalaryGrowth)^86</f>
        <v>6124723.3184806453</v>
      </c>
      <c r="I88" s="4">
        <f>SimOpsY1*(1+SimOpsGrowth)^86</f>
        <v>22467990.242528807</v>
      </c>
      <c r="J88" s="4">
        <f>TrainDevY1*(1+TrainDevGrowth)^86</f>
        <v>11233995.121264404</v>
      </c>
      <c r="K88" s="4">
        <f>AdminY1*(1+AdminGrowth)^86</f>
        <v>3001472.7750898008</v>
      </c>
      <c r="L88" s="4">
        <f t="shared" si="6"/>
        <v>42828181.457363658</v>
      </c>
      <c r="M88" s="4">
        <f t="shared" si="7"/>
        <v>368015607.97579372</v>
      </c>
    </row>
    <row r="89" spans="1:13" x14ac:dyDescent="0.2">
      <c r="A89" s="3">
        <f>StartYear+87</f>
        <v>2112</v>
      </c>
      <c r="B89" s="4">
        <f>FacultyFTE*HoursPerWeek*WeeksPerYear*RatePerHour*(1+PracticeGrowth)^87</f>
        <v>20084522.305710789</v>
      </c>
      <c r="C89" s="4">
        <f>StudentsY1*(1+StudentGrowth)^87*CreditsPerStudent*TuitionPerCredit</f>
        <v>125528264.41069242</v>
      </c>
      <c r="D89" s="4">
        <f>SimRevY1*(1+SimGrowth)^87</f>
        <v>199587626.29031953</v>
      </c>
      <c r="E89" s="4">
        <f>FacDevRevY1*(1+FacDevGrowth)^87</f>
        <v>99793813.145159766</v>
      </c>
      <c r="F89" s="4">
        <f t="shared" si="4"/>
        <v>424909703.84617174</v>
      </c>
      <c r="G89" s="4">
        <f t="shared" si="5"/>
        <v>444994226.15188253</v>
      </c>
      <c r="H89" s="4">
        <f>SalaryFTECount*SalaryPerFTE*(1+SalaryGrowth)^87</f>
        <v>6369712.2512198705</v>
      </c>
      <c r="I89" s="4">
        <f>SimOpsY1*(1+SimOpsGrowth)^87</f>
        <v>24265429.461931113</v>
      </c>
      <c r="J89" s="4">
        <f>TrainDevY1*(1+TrainDevGrowth)^87</f>
        <v>12132714.730965557</v>
      </c>
      <c r="K89" s="4">
        <f>AdminY1*(1+AdminGrowth)^87</f>
        <v>3181561.1415951895</v>
      </c>
      <c r="L89" s="4">
        <f t="shared" si="6"/>
        <v>45949417.585711733</v>
      </c>
      <c r="M89" s="4">
        <f t="shared" si="7"/>
        <v>399044808.56617081</v>
      </c>
    </row>
    <row r="90" spans="1:13" x14ac:dyDescent="0.2">
      <c r="A90" s="3">
        <f>StartYear+88</f>
        <v>2113</v>
      </c>
      <c r="B90" s="4">
        <f>FacultyFTE*HoursPerWeek*WeeksPerYear*RatePerHour*(1+PracticeGrowth)^88</f>
        <v>21088748.420996327</v>
      </c>
      <c r="C90" s="4">
        <f>StudentsY1*(1+StudentGrowth)^88*CreditsPerStudent*TuitionPerCredit</f>
        <v>131804677.63122702</v>
      </c>
      <c r="D90" s="4">
        <f>SimRevY1*(1+SimGrowth)^88</f>
        <v>219546388.91935146</v>
      </c>
      <c r="E90" s="4">
        <f>FacDevRevY1*(1+FacDevGrowth)^88</f>
        <v>109773194.45967573</v>
      </c>
      <c r="F90" s="4">
        <f t="shared" si="4"/>
        <v>461124261.0102542</v>
      </c>
      <c r="G90" s="4">
        <f t="shared" si="5"/>
        <v>482213009.43125051</v>
      </c>
      <c r="H90" s="4">
        <f>SalaryFTECount*SalaryPerFTE*(1+SalaryGrowth)^88</f>
        <v>6624500.7412686655</v>
      </c>
      <c r="I90" s="4">
        <f>SimOpsY1*(1+SimOpsGrowth)^88</f>
        <v>26206663.818885602</v>
      </c>
      <c r="J90" s="4">
        <f>TrainDevY1*(1+TrainDevGrowth)^88</f>
        <v>13103331.909442801</v>
      </c>
      <c r="K90" s="4">
        <f>AdminY1*(1+AdminGrowth)^88</f>
        <v>3372454.8100909004</v>
      </c>
      <c r="L90" s="4">
        <f t="shared" si="6"/>
        <v>49306951.279687971</v>
      </c>
      <c r="M90" s="4">
        <f t="shared" si="7"/>
        <v>432906058.15156257</v>
      </c>
    </row>
    <row r="91" spans="1:13" x14ac:dyDescent="0.2">
      <c r="A91" s="3">
        <f>StartYear+89</f>
        <v>2114</v>
      </c>
      <c r="B91" s="4">
        <f>FacultyFTE*HoursPerWeek*WeeksPerYear*RatePerHour*(1+PracticeGrowth)^89</f>
        <v>22143185.842046145</v>
      </c>
      <c r="C91" s="4">
        <f>StudentsY1*(1+StudentGrowth)^89*CreditsPerStudent*TuitionPerCredit</f>
        <v>138394911.51278841</v>
      </c>
      <c r="D91" s="4">
        <f>SimRevY1*(1+SimGrowth)^89</f>
        <v>241501027.81128666</v>
      </c>
      <c r="E91" s="4">
        <f>FacDevRevY1*(1+FacDevGrowth)^89</f>
        <v>120750513.90564333</v>
      </c>
      <c r="F91" s="4">
        <f t="shared" si="4"/>
        <v>500646453.22971845</v>
      </c>
      <c r="G91" s="4">
        <f t="shared" si="5"/>
        <v>522789639.07176459</v>
      </c>
      <c r="H91" s="4">
        <f>SalaryFTECount*SalaryPerFTE*(1+SalaryGrowth)^89</f>
        <v>6889480.7709194133</v>
      </c>
      <c r="I91" s="4">
        <f>SimOpsY1*(1+SimOpsGrowth)^89</f>
        <v>28303196.924396452</v>
      </c>
      <c r="J91" s="4">
        <f>TrainDevY1*(1+TrainDevGrowth)^89</f>
        <v>14151598.462198226</v>
      </c>
      <c r="K91" s="4">
        <f>AdminY1*(1+AdminGrowth)^89</f>
        <v>3574802.0986963543</v>
      </c>
      <c r="L91" s="4">
        <f t="shared" si="6"/>
        <v>52919078.256210446</v>
      </c>
      <c r="M91" s="4">
        <f t="shared" si="7"/>
        <v>469870560.81555414</v>
      </c>
    </row>
    <row r="92" spans="1:13" x14ac:dyDescent="0.2">
      <c r="A92" s="3">
        <f>StartYear+90</f>
        <v>2115</v>
      </c>
      <c r="B92" s="4">
        <f>FacultyFTE*HoursPerWeek*WeeksPerYear*RatePerHour*(1+PracticeGrowth)^90</f>
        <v>23250345.134148449</v>
      </c>
      <c r="C92" s="4">
        <f>StudentsY1*(1+StudentGrowth)^90*CreditsPerStudent*TuitionPerCredit</f>
        <v>145314657.08842781</v>
      </c>
      <c r="D92" s="4">
        <f>SimRevY1*(1+SimGrowth)^90</f>
        <v>265651130.59241533</v>
      </c>
      <c r="E92" s="4">
        <f>FacDevRevY1*(1+FacDevGrowth)^90</f>
        <v>132825565.29620767</v>
      </c>
      <c r="F92" s="4">
        <f t="shared" si="4"/>
        <v>543791352.97705078</v>
      </c>
      <c r="G92" s="4">
        <f t="shared" si="5"/>
        <v>567041698.11119926</v>
      </c>
      <c r="H92" s="4">
        <f>SalaryFTECount*SalaryPerFTE*(1+SalaryGrowth)^90</f>
        <v>7165060.0017561894</v>
      </c>
      <c r="I92" s="4">
        <f>SimOpsY1*(1+SimOpsGrowth)^90</f>
        <v>30567452.678348169</v>
      </c>
      <c r="J92" s="4">
        <f>TrainDevY1*(1+TrainDevGrowth)^90</f>
        <v>15283726.339174084</v>
      </c>
      <c r="K92" s="4">
        <f>AdminY1*(1+AdminGrowth)^90</f>
        <v>3789290.224618136</v>
      </c>
      <c r="L92" s="4">
        <f t="shared" si="6"/>
        <v>56805529.243896581</v>
      </c>
      <c r="M92" s="4">
        <f t="shared" si="7"/>
        <v>510236168.86730266</v>
      </c>
    </row>
    <row r="93" spans="1:13" x14ac:dyDescent="0.2">
      <c r="A93" s="3">
        <f>StartYear+91</f>
        <v>2116</v>
      </c>
      <c r="B93" s="4">
        <f>FacultyFTE*HoursPerWeek*WeeksPerYear*RatePerHour*(1+PracticeGrowth)^91</f>
        <v>24412862.390855879</v>
      </c>
      <c r="C93" s="4">
        <f>StudentsY1*(1+StudentGrowth)^91*CreditsPerStudent*TuitionPerCredit</f>
        <v>152580389.94284925</v>
      </c>
      <c r="D93" s="4">
        <f>SimRevY1*(1+SimGrowth)^91</f>
        <v>292216243.65165693</v>
      </c>
      <c r="E93" s="4">
        <f>FacDevRevY1*(1+FacDevGrowth)^91</f>
        <v>146108121.82582846</v>
      </c>
      <c r="F93" s="4">
        <f t="shared" si="4"/>
        <v>590904755.42033458</v>
      </c>
      <c r="G93" s="4">
        <f t="shared" si="5"/>
        <v>615317617.81119049</v>
      </c>
      <c r="H93" s="4">
        <f>SalaryFTECount*SalaryPerFTE*(1+SalaryGrowth)^91</f>
        <v>7451662.4018264376</v>
      </c>
      <c r="I93" s="4">
        <f>SimOpsY1*(1+SimOpsGrowth)^91</f>
        <v>33012848.892616022</v>
      </c>
      <c r="J93" s="4">
        <f>TrainDevY1*(1+TrainDevGrowth)^91</f>
        <v>16506424.446308011</v>
      </c>
      <c r="K93" s="4">
        <f>AdminY1*(1+AdminGrowth)^91</f>
        <v>4016647.6380952247</v>
      </c>
      <c r="L93" s="4">
        <f t="shared" si="6"/>
        <v>60987583.378845692</v>
      </c>
      <c r="M93" s="4">
        <f t="shared" si="7"/>
        <v>554330034.43234479</v>
      </c>
    </row>
    <row r="94" spans="1:13" x14ac:dyDescent="0.2">
      <c r="A94" s="3">
        <f>StartYear+92</f>
        <v>2117</v>
      </c>
      <c r="B94" s="4">
        <f>FacultyFTE*HoursPerWeek*WeeksPerYear*RatePerHour*(1+PracticeGrowth)^92</f>
        <v>25633505.510398667</v>
      </c>
      <c r="C94" s="4">
        <f>StudentsY1*(1+StudentGrowth)^92*CreditsPerStudent*TuitionPerCredit</f>
        <v>160209409.43999165</v>
      </c>
      <c r="D94" s="4">
        <f>SimRevY1*(1+SimGrowth)^92</f>
        <v>321437868.01682258</v>
      </c>
      <c r="E94" s="4">
        <f>FacDevRevY1*(1+FacDevGrowth)^92</f>
        <v>160718934.00841129</v>
      </c>
      <c r="F94" s="4">
        <f t="shared" si="4"/>
        <v>642366211.46522546</v>
      </c>
      <c r="G94" s="4">
        <f t="shared" si="5"/>
        <v>667999716.97562408</v>
      </c>
      <c r="H94" s="4">
        <f>SalaryFTECount*SalaryPerFTE*(1+SalaryGrowth)^92</f>
        <v>7749728.8978994964</v>
      </c>
      <c r="I94" s="4">
        <f>SimOpsY1*(1+SimOpsGrowth)^92</f>
        <v>35653876.8040253</v>
      </c>
      <c r="J94" s="4">
        <f>TrainDevY1*(1+TrainDevGrowth)^92</f>
        <v>17826938.40201265</v>
      </c>
      <c r="K94" s="4">
        <f>AdminY1*(1+AdminGrowth)^92</f>
        <v>4257646.4963809382</v>
      </c>
      <c r="L94" s="4">
        <f t="shared" si="6"/>
        <v>65488190.600318387</v>
      </c>
      <c r="M94" s="4">
        <f t="shared" si="7"/>
        <v>602511526.37530565</v>
      </c>
    </row>
    <row r="95" spans="1:13" x14ac:dyDescent="0.2">
      <c r="A95" s="3">
        <f>StartYear+93</f>
        <v>2118</v>
      </c>
      <c r="B95" s="4">
        <f>FacultyFTE*HoursPerWeek*WeeksPerYear*RatePerHour*(1+PracticeGrowth)^93</f>
        <v>26915180.785918605</v>
      </c>
      <c r="C95" s="4">
        <f>StudentsY1*(1+StudentGrowth)^93*CreditsPerStudent*TuitionPerCredit</f>
        <v>168219879.91199127</v>
      </c>
      <c r="D95" s="4">
        <f>SimRevY1*(1+SimGrowth)^93</f>
        <v>353581654.81850487</v>
      </c>
      <c r="E95" s="4">
        <f>FacDevRevY1*(1+FacDevGrowth)^93</f>
        <v>176790827.40925243</v>
      </c>
      <c r="F95" s="4">
        <f t="shared" si="4"/>
        <v>698592362.13974857</v>
      </c>
      <c r="G95" s="4">
        <f t="shared" si="5"/>
        <v>725507542.92566717</v>
      </c>
      <c r="H95" s="4">
        <f>SalaryFTECount*SalaryPerFTE*(1+SalaryGrowth)^93</f>
        <v>8059718.0538154766</v>
      </c>
      <c r="I95" s="4">
        <f>SimOpsY1*(1+SimOpsGrowth)^93</f>
        <v>38506186.94834733</v>
      </c>
      <c r="J95" s="4">
        <f>TrainDevY1*(1+TrainDevGrowth)^93</f>
        <v>19253093.474173665</v>
      </c>
      <c r="K95" s="4">
        <f>AdminY1*(1+AdminGrowth)^93</f>
        <v>4513105.2861637948</v>
      </c>
      <c r="L95" s="4">
        <f t="shared" si="6"/>
        <v>70332103.762500271</v>
      </c>
      <c r="M95" s="4">
        <f t="shared" si="7"/>
        <v>655175439.16316688</v>
      </c>
    </row>
    <row r="96" spans="1:13" x14ac:dyDescent="0.2">
      <c r="A96" s="3">
        <f>StartYear+94</f>
        <v>2119</v>
      </c>
      <c r="B96" s="4">
        <f>FacultyFTE*HoursPerWeek*WeeksPerYear*RatePerHour*(1+PracticeGrowth)^94</f>
        <v>28260939.825214524</v>
      </c>
      <c r="C96" s="4">
        <f>StudentsY1*(1+StudentGrowth)^94*CreditsPerStudent*TuitionPerCredit</f>
        <v>176630873.90759081</v>
      </c>
      <c r="D96" s="4">
        <f>SimRevY1*(1+SimGrowth)^94</f>
        <v>388939820.30035543</v>
      </c>
      <c r="E96" s="4">
        <f>FacDevRevY1*(1+FacDevGrowth)^94</f>
        <v>194469910.15017772</v>
      </c>
      <c r="F96" s="4">
        <f t="shared" si="4"/>
        <v>760040604.35812402</v>
      </c>
      <c r="G96" s="4">
        <f t="shared" si="5"/>
        <v>788301544.18333852</v>
      </c>
      <c r="H96" s="4">
        <f>SalaryFTECount*SalaryPerFTE*(1+SalaryGrowth)^94</f>
        <v>8382106.7759680944</v>
      </c>
      <c r="I96" s="4">
        <f>SimOpsY1*(1+SimOpsGrowth)^94</f>
        <v>41586681.904215127</v>
      </c>
      <c r="J96" s="4">
        <f>TrainDevY1*(1+TrainDevGrowth)^94</f>
        <v>20793340.952107564</v>
      </c>
      <c r="K96" s="4">
        <f>AdminY1*(1+AdminGrowth)^94</f>
        <v>4783891.6033336231</v>
      </c>
      <c r="L96" s="4">
        <f t="shared" si="6"/>
        <v>75546021.235624403</v>
      </c>
      <c r="M96" s="4">
        <f t="shared" si="7"/>
        <v>712755522.94771409</v>
      </c>
    </row>
    <row r="97" spans="1:13" x14ac:dyDescent="0.2">
      <c r="A97" s="3">
        <f>StartYear+95</f>
        <v>2120</v>
      </c>
      <c r="B97" s="4">
        <f>FacultyFTE*HoursPerWeek*WeeksPerYear*RatePerHour*(1+PracticeGrowth)^95</f>
        <v>29673986.816475265</v>
      </c>
      <c r="C97" s="4">
        <f>StudentsY1*(1+StudentGrowth)^95*CreditsPerStudent*TuitionPerCredit</f>
        <v>185462417.60297042</v>
      </c>
      <c r="D97" s="4">
        <f>SimRevY1*(1+SimGrowth)^95</f>
        <v>427833802.33039099</v>
      </c>
      <c r="E97" s="4">
        <f>FacDevRevY1*(1+FacDevGrowth)^95</f>
        <v>213916901.16519549</v>
      </c>
      <c r="F97" s="4">
        <f t="shared" si="4"/>
        <v>827213121.09855688</v>
      </c>
      <c r="G97" s="4">
        <f t="shared" si="5"/>
        <v>856887107.91503215</v>
      </c>
      <c r="H97" s="4">
        <f>SalaryFTECount*SalaryPerFTE*(1+SalaryGrowth)^95</f>
        <v>8717391.0470068194</v>
      </c>
      <c r="I97" s="4">
        <f>SimOpsY1*(1+SimOpsGrowth)^95</f>
        <v>44913616.456552342</v>
      </c>
      <c r="J97" s="4">
        <f>TrainDevY1*(1+TrainDevGrowth)^95</f>
        <v>22456808.228276171</v>
      </c>
      <c r="K97" s="4">
        <f>AdminY1*(1+AdminGrowth)^95</f>
        <v>5070925.0995336417</v>
      </c>
      <c r="L97" s="4">
        <f t="shared" si="6"/>
        <v>81158740.831368983</v>
      </c>
      <c r="M97" s="4">
        <f t="shared" si="7"/>
        <v>775728367.08366323</v>
      </c>
    </row>
    <row r="98" spans="1:13" x14ac:dyDescent="0.2">
      <c r="A98" s="3">
        <f>StartYear+96</f>
        <v>2121</v>
      </c>
      <c r="B98" s="4">
        <f>FacultyFTE*HoursPerWeek*WeeksPerYear*RatePerHour*(1+PracticeGrowth)^96</f>
        <v>31157686.157299023</v>
      </c>
      <c r="C98" s="4">
        <f>StudentsY1*(1+StudentGrowth)^96*CreditsPerStudent*TuitionPerCredit</f>
        <v>194735538.48311889</v>
      </c>
      <c r="D98" s="4">
        <f>SimRevY1*(1+SimGrowth)^96</f>
        <v>470617182.56343013</v>
      </c>
      <c r="E98" s="4">
        <f>FacDevRevY1*(1+FacDevGrowth)^96</f>
        <v>235308591.28171507</v>
      </c>
      <c r="F98" s="4">
        <f t="shared" si="4"/>
        <v>900661312.32826412</v>
      </c>
      <c r="G98" s="4">
        <f t="shared" si="5"/>
        <v>931818998.48556316</v>
      </c>
      <c r="H98" s="4">
        <f>SalaryFTECount*SalaryPerFTE*(1+SalaryGrowth)^96</f>
        <v>9066086.6888870932</v>
      </c>
      <c r="I98" s="4">
        <f>SimOpsY1*(1+SimOpsGrowth)^96</f>
        <v>48506705.773076527</v>
      </c>
      <c r="J98" s="4">
        <f>TrainDevY1*(1+TrainDevGrowth)^96</f>
        <v>24253352.886538263</v>
      </c>
      <c r="K98" s="4">
        <f>AdminY1*(1+AdminGrowth)^96</f>
        <v>5375180.6055056592</v>
      </c>
      <c r="L98" s="4">
        <f t="shared" si="6"/>
        <v>87201325.954007551</v>
      </c>
      <c r="M98" s="4">
        <f t="shared" si="7"/>
        <v>844617672.53155565</v>
      </c>
    </row>
    <row r="99" spans="1:13" x14ac:dyDescent="0.2">
      <c r="A99" s="3">
        <f>StartYear+97</f>
        <v>2122</v>
      </c>
      <c r="B99" s="4">
        <f>FacultyFTE*HoursPerWeek*WeeksPerYear*RatePerHour*(1+PracticeGrowth)^97</f>
        <v>32715570.465163976</v>
      </c>
      <c r="C99" s="4">
        <f>StudentsY1*(1+StudentGrowth)^97*CreditsPerStudent*TuitionPerCredit</f>
        <v>204472315.40727481</v>
      </c>
      <c r="D99" s="4">
        <f>SimRevY1*(1+SimGrowth)^97</f>
        <v>517678900.81977314</v>
      </c>
      <c r="E99" s="4">
        <f>FacDevRevY1*(1+FacDevGrowth)^97</f>
        <v>258839450.40988657</v>
      </c>
      <c r="F99" s="4">
        <f t="shared" si="4"/>
        <v>980990666.63693452</v>
      </c>
      <c r="G99" s="4">
        <f t="shared" si="5"/>
        <v>1013706237.1020985</v>
      </c>
      <c r="H99" s="4">
        <f>SalaryFTECount*SalaryPerFTE*(1+SalaryGrowth)^97</f>
        <v>9428730.156442577</v>
      </c>
      <c r="I99" s="4">
        <f>SimOpsY1*(1+SimOpsGrowth)^97</f>
        <v>52387242.234922647</v>
      </c>
      <c r="J99" s="4">
        <f>TrainDevY1*(1+TrainDevGrowth)^97</f>
        <v>26193621.117461324</v>
      </c>
      <c r="K99" s="4">
        <f>AdminY1*(1+AdminGrowth)^97</f>
        <v>5697691.4418359976</v>
      </c>
      <c r="L99" s="4">
        <f t="shared" si="6"/>
        <v>93707284.950662553</v>
      </c>
      <c r="M99" s="4">
        <f t="shared" si="7"/>
        <v>919998952.15143585</v>
      </c>
    </row>
    <row r="100" spans="1:13" x14ac:dyDescent="0.2">
      <c r="A100" s="3">
        <f>StartYear+98</f>
        <v>2123</v>
      </c>
      <c r="B100" s="4">
        <f>FacultyFTE*HoursPerWeek*WeeksPerYear*RatePerHour*(1+PracticeGrowth)^98</f>
        <v>34351348.98842217</v>
      </c>
      <c r="C100" s="4">
        <f>StudentsY1*(1+StudentGrowth)^98*CreditsPerStudent*TuitionPerCredit</f>
        <v>214695931.17763859</v>
      </c>
      <c r="D100" s="4">
        <f>SimRevY1*(1+SimGrowth)^98</f>
        <v>569446790.90175045</v>
      </c>
      <c r="E100" s="4">
        <f>FacDevRevY1*(1+FacDevGrowth)^98</f>
        <v>284723395.45087522</v>
      </c>
      <c r="F100" s="4">
        <f t="shared" si="4"/>
        <v>1068866117.5302644</v>
      </c>
      <c r="G100" s="4">
        <f t="shared" si="5"/>
        <v>1103217466.5186865</v>
      </c>
      <c r="H100" s="4">
        <f>SalaryFTECount*SalaryPerFTE*(1+SalaryGrowth)^98</f>
        <v>9805879.3627002798</v>
      </c>
      <c r="I100" s="4">
        <f>SimOpsY1*(1+SimOpsGrowth)^98</f>
        <v>56578221.613716461</v>
      </c>
      <c r="J100" s="4">
        <f>TrainDevY1*(1+TrainDevGrowth)^98</f>
        <v>28289110.80685823</v>
      </c>
      <c r="K100" s="4">
        <f>AdminY1*(1+AdminGrowth)^98</f>
        <v>6039552.9283461589</v>
      </c>
      <c r="L100" s="4">
        <f t="shared" si="6"/>
        <v>100712764.71162112</v>
      </c>
      <c r="M100" s="4">
        <f t="shared" si="7"/>
        <v>1002504701.8070654</v>
      </c>
    </row>
    <row r="101" spans="1:13" x14ac:dyDescent="0.2">
      <c r="A101" s="3">
        <f>StartYear+99</f>
        <v>2124</v>
      </c>
      <c r="B101" s="4">
        <f>FacultyFTE*HoursPerWeek*WeeksPerYear*RatePerHour*(1+PracticeGrowth)^99</f>
        <v>36068916.437843286</v>
      </c>
      <c r="C101" s="4">
        <f>StudentsY1*(1+StudentGrowth)^99*CreditsPerStudent*TuitionPerCredit</f>
        <v>225430727.73652053</v>
      </c>
      <c r="D101" s="4">
        <f>SimRevY1*(1+SimGrowth)^99</f>
        <v>626391469.9919256</v>
      </c>
      <c r="E101" s="4">
        <f>FacDevRevY1*(1+FacDevGrowth)^99</f>
        <v>313195734.9959628</v>
      </c>
      <c r="F101" s="4">
        <f t="shared" si="4"/>
        <v>1165017932.7244089</v>
      </c>
      <c r="G101" s="4">
        <f t="shared" si="5"/>
        <v>1201086849.1622522</v>
      </c>
      <c r="H101" s="4">
        <f>SalaryFTECount*SalaryPerFTE*(1+SalaryGrowth)^99</f>
        <v>10198114.537208293</v>
      </c>
      <c r="I101" s="4">
        <f>SimOpsY1*(1+SimOpsGrowth)^99</f>
        <v>61104479.342813782</v>
      </c>
      <c r="J101" s="4">
        <f>TrainDevY1*(1+TrainDevGrowth)^99</f>
        <v>30552239.671406891</v>
      </c>
      <c r="K101" s="4">
        <f>AdminY1*(1+AdminGrowth)^99</f>
        <v>6401926.1040469287</v>
      </c>
      <c r="L101" s="4">
        <f t="shared" si="6"/>
        <v>108256759.6554759</v>
      </c>
      <c r="M101" s="4">
        <f t="shared" si="7"/>
        <v>1092830089.5067763</v>
      </c>
    </row>
    <row r="102" spans="1:13" x14ac:dyDescent="0.2">
      <c r="A102" s="3">
        <f>StartYear+100</f>
        <v>2125</v>
      </c>
      <c r="B102" s="4">
        <f>FacultyFTE*HoursPerWeek*WeeksPerYear*RatePerHour*(1+PracticeGrowth)^100</f>
        <v>37872362.259735443</v>
      </c>
      <c r="C102" s="4">
        <f>StudentsY1*(1+StudentGrowth)^100*CreditsPerStudent*TuitionPerCredit</f>
        <v>236702264.12334651</v>
      </c>
      <c r="D102" s="4">
        <f>SimRevY1*(1+SimGrowth)^100</f>
        <v>689030616.99111819</v>
      </c>
      <c r="E102" s="4">
        <f>FacDevRevY1*(1+FacDevGrowth)^100</f>
        <v>344515308.4955591</v>
      </c>
      <c r="F102" s="4">
        <f t="shared" si="4"/>
        <v>1270248189.610024</v>
      </c>
      <c r="G102" s="4">
        <f t="shared" si="5"/>
        <v>1308120551.8697593</v>
      </c>
      <c r="H102" s="4">
        <f>SalaryFTECount*SalaryPerFTE*(1+SalaryGrowth)^100</f>
        <v>10606039.118696624</v>
      </c>
      <c r="I102" s="4">
        <f>SimOpsY1*(1+SimOpsGrowth)^100</f>
        <v>65992837.6902389</v>
      </c>
      <c r="J102" s="4">
        <f>TrainDevY1*(1+TrainDevGrowth)^100</f>
        <v>32996418.84511945</v>
      </c>
      <c r="K102" s="4">
        <f>AdminY1*(1+AdminGrowth)^100</f>
        <v>6786041.6702897456</v>
      </c>
      <c r="L102" s="4">
        <f t="shared" si="6"/>
        <v>116381337.32434471</v>
      </c>
      <c r="M102" s="4">
        <f t="shared" si="7"/>
        <v>1191739214.5454147</v>
      </c>
    </row>
    <row r="103" spans="1:13" x14ac:dyDescent="0.2">
      <c r="A103" s="3">
        <f>StartYear+101</f>
        <v>2126</v>
      </c>
      <c r="B103" s="4">
        <f>FacultyFTE*HoursPerWeek*WeeksPerYear*RatePerHour*(1+PracticeGrowth)^101</f>
        <v>39765980.372722223</v>
      </c>
      <c r="C103" s="4">
        <f>StudentsY1*(1+StudentGrowth)^101*CreditsPerStudent*TuitionPerCredit</f>
        <v>248537377.32951385</v>
      </c>
      <c r="D103" s="4">
        <f>SimRevY1*(1+SimGrowth)^101</f>
        <v>757933678.69023001</v>
      </c>
      <c r="E103" s="4">
        <f>FacDevRevY1*(1+FacDevGrowth)^101</f>
        <v>378966839.34511501</v>
      </c>
      <c r="F103" s="4">
        <f t="shared" si="4"/>
        <v>1385437895.3648589</v>
      </c>
      <c r="G103" s="4">
        <f t="shared" si="5"/>
        <v>1425203875.737581</v>
      </c>
      <c r="H103" s="4">
        <f>SalaryFTECount*SalaryPerFTE*(1+SalaryGrowth)^101</f>
        <v>11030280.683444491</v>
      </c>
      <c r="I103" s="4">
        <f>SimOpsY1*(1+SimOpsGrowth)^101</f>
        <v>71272264.705458</v>
      </c>
      <c r="J103" s="4">
        <f>TrainDevY1*(1+TrainDevGrowth)^101</f>
        <v>35636132.352729</v>
      </c>
      <c r="K103" s="4">
        <f>AdminY1*(1+AdminGrowth)^101</f>
        <v>7193204.1705071302</v>
      </c>
      <c r="L103" s="4">
        <f t="shared" si="6"/>
        <v>125131881.91213861</v>
      </c>
      <c r="M103" s="4">
        <f t="shared" si="7"/>
        <v>1300071993.8254423</v>
      </c>
    </row>
    <row r="104" spans="1:13" x14ac:dyDescent="0.2">
      <c r="A104" s="3">
        <f>StartYear+102</f>
        <v>2127</v>
      </c>
      <c r="B104" s="4">
        <f>FacultyFTE*HoursPerWeek*WeeksPerYear*RatePerHour*(1+PracticeGrowth)^102</f>
        <v>41754279.391358323</v>
      </c>
      <c r="C104" s="4">
        <f>StudentsY1*(1+StudentGrowth)^102*CreditsPerStudent*TuitionPerCredit</f>
        <v>260964246.19598955</v>
      </c>
      <c r="D104" s="4">
        <f>SimRevY1*(1+SimGrowth)^102</f>
        <v>833727046.55925322</v>
      </c>
      <c r="E104" s="4">
        <f>FacDevRevY1*(1+FacDevGrowth)^102</f>
        <v>416863523.27962661</v>
      </c>
      <c r="F104" s="4">
        <f t="shared" si="4"/>
        <v>1511554816.0348694</v>
      </c>
      <c r="G104" s="4">
        <f t="shared" si="5"/>
        <v>1553309095.4262278</v>
      </c>
      <c r="H104" s="4">
        <f>SalaryFTECount*SalaryPerFTE*(1+SalaryGrowth)^102</f>
        <v>11471491.910782268</v>
      </c>
      <c r="I104" s="4">
        <f>SimOpsY1*(1+SimOpsGrowth)^102</f>
        <v>76974045.881894663</v>
      </c>
      <c r="J104" s="4">
        <f>TrainDevY1*(1+TrainDevGrowth)^102</f>
        <v>38487022.940947331</v>
      </c>
      <c r="K104" s="4">
        <f>AdminY1*(1+AdminGrowth)^102</f>
        <v>7624796.420737559</v>
      </c>
      <c r="L104" s="4">
        <f t="shared" si="6"/>
        <v>134557357.15436181</v>
      </c>
      <c r="M104" s="4">
        <f t="shared" si="7"/>
        <v>1418751738.2718661</v>
      </c>
    </row>
    <row r="105" spans="1:13" x14ac:dyDescent="0.2">
      <c r="A105" s="3">
        <f>StartYear+103</f>
        <v>2128</v>
      </c>
      <c r="B105" s="4">
        <f>FacultyFTE*HoursPerWeek*WeeksPerYear*RatePerHour*(1+PracticeGrowth)^103</f>
        <v>43841993.360926248</v>
      </c>
      <c r="C105" s="4">
        <f>StudentsY1*(1+StudentGrowth)^103*CreditsPerStudent*TuitionPerCredit</f>
        <v>274012458.5057891</v>
      </c>
      <c r="D105" s="4">
        <f>SimRevY1*(1+SimGrowth)^103</f>
        <v>917099751.21517849</v>
      </c>
      <c r="E105" s="4">
        <f>FacDevRevY1*(1+FacDevGrowth)^103</f>
        <v>458549875.60758924</v>
      </c>
      <c r="F105" s="4">
        <f t="shared" si="4"/>
        <v>1649662085.3285568</v>
      </c>
      <c r="G105" s="4">
        <f t="shared" si="5"/>
        <v>1693504078.6894829</v>
      </c>
      <c r="H105" s="4">
        <f>SalaryFTECount*SalaryPerFTE*(1+SalaryGrowth)^103</f>
        <v>11930351.587213559</v>
      </c>
      <c r="I105" s="4">
        <f>SimOpsY1*(1+SimOpsGrowth)^103</f>
        <v>83131969.552446231</v>
      </c>
      <c r="J105" s="4">
        <f>TrainDevY1*(1+TrainDevGrowth)^103</f>
        <v>41565984.776223116</v>
      </c>
      <c r="K105" s="4">
        <f>AdminY1*(1+AdminGrowth)^103</f>
        <v>8082284.2059818143</v>
      </c>
      <c r="L105" s="4">
        <f t="shared" si="6"/>
        <v>144710590.12186474</v>
      </c>
      <c r="M105" s="4">
        <f t="shared" si="7"/>
        <v>1548793488.5676181</v>
      </c>
    </row>
    <row r="106" spans="1:13" x14ac:dyDescent="0.2">
      <c r="A106" s="3">
        <f>StartYear+104</f>
        <v>2129</v>
      </c>
      <c r="B106" s="4">
        <f>FacultyFTE*HoursPerWeek*WeeksPerYear*RatePerHour*(1+PracticeGrowth)^104</f>
        <v>46034093.028972559</v>
      </c>
      <c r="C106" s="4">
        <f>StudentsY1*(1+StudentGrowth)^104*CreditsPerStudent*TuitionPerCredit</f>
        <v>287713081.43107849</v>
      </c>
      <c r="D106" s="4">
        <f>SimRevY1*(1+SimGrowth)^104</f>
        <v>1008809726.3366964</v>
      </c>
      <c r="E106" s="4">
        <f>FacDevRevY1*(1+FacDevGrowth)^104</f>
        <v>504404863.16834819</v>
      </c>
      <c r="F106" s="4">
        <f t="shared" si="4"/>
        <v>1800927670.9361229</v>
      </c>
      <c r="G106" s="4">
        <f t="shared" si="5"/>
        <v>1846961763.9650955</v>
      </c>
      <c r="H106" s="4">
        <f>SalaryFTECount*SalaryPerFTE*(1+SalaryGrowth)^104</f>
        <v>12407565.650702106</v>
      </c>
      <c r="I106" s="4">
        <f>SimOpsY1*(1+SimOpsGrowth)^104</f>
        <v>89782527.116641939</v>
      </c>
      <c r="J106" s="4">
        <f>TrainDevY1*(1+TrainDevGrowth)^104</f>
        <v>44891263.558320969</v>
      </c>
      <c r="K106" s="4">
        <f>AdminY1*(1+AdminGrowth)^104</f>
        <v>8567221.2583407219</v>
      </c>
      <c r="L106" s="4">
        <f t="shared" si="6"/>
        <v>155648577.58400571</v>
      </c>
      <c r="M106" s="4">
        <f t="shared" si="7"/>
        <v>1691313186.3810897</v>
      </c>
    </row>
    <row r="107" spans="1:13" x14ac:dyDescent="0.2">
      <c r="A107" s="3">
        <f>StartYear+105</f>
        <v>2130</v>
      </c>
      <c r="B107" s="4">
        <f>FacultyFTE*HoursPerWeek*WeeksPerYear*RatePerHour*(1+PracticeGrowth)^105</f>
        <v>48335797.680421188</v>
      </c>
      <c r="C107" s="4">
        <f>StudentsY1*(1+StudentGrowth)^105*CreditsPerStudent*TuitionPerCredit</f>
        <v>302098735.50263244</v>
      </c>
      <c r="D107" s="4">
        <f>SimRevY1*(1+SimGrowth)^105</f>
        <v>1109690698.970366</v>
      </c>
      <c r="E107" s="4">
        <f>FacDevRevY1*(1+FacDevGrowth)^105</f>
        <v>554845349.485183</v>
      </c>
      <c r="F107" s="4">
        <f t="shared" si="4"/>
        <v>1966634783.9581814</v>
      </c>
      <c r="G107" s="4">
        <f t="shared" si="5"/>
        <v>2014970581.6386025</v>
      </c>
      <c r="H107" s="4">
        <f>SalaryFTECount*SalaryPerFTE*(1+SalaryGrowth)^105</f>
        <v>12903868.276730189</v>
      </c>
      <c r="I107" s="4">
        <f>SimOpsY1*(1+SimOpsGrowth)^105</f>
        <v>96965129.285973296</v>
      </c>
      <c r="J107" s="4">
        <f>TrainDevY1*(1+TrainDevGrowth)^105</f>
        <v>48482564.642986648</v>
      </c>
      <c r="K107" s="4">
        <f>AdminY1*(1+AdminGrowth)^105</f>
        <v>9081254.5338411648</v>
      </c>
      <c r="L107" s="4">
        <f t="shared" si="6"/>
        <v>167432816.73953131</v>
      </c>
      <c r="M107" s="4">
        <f t="shared" si="7"/>
        <v>1847537764.8990712</v>
      </c>
    </row>
    <row r="108" spans="1:13" x14ac:dyDescent="0.2">
      <c r="A108" s="3">
        <f>StartYear+106</f>
        <v>2131</v>
      </c>
      <c r="B108" s="4">
        <f>FacultyFTE*HoursPerWeek*WeeksPerYear*RatePerHour*(1+PracticeGrowth)^106</f>
        <v>50752587.564442247</v>
      </c>
      <c r="C108" s="4">
        <f>StudentsY1*(1+StudentGrowth)^106*CreditsPerStudent*TuitionPerCredit</f>
        <v>317203672.27776408</v>
      </c>
      <c r="D108" s="4">
        <f>SimRevY1*(1+SimGrowth)^106</f>
        <v>1220659768.8674028</v>
      </c>
      <c r="E108" s="4">
        <f>FacDevRevY1*(1+FacDevGrowth)^106</f>
        <v>610329884.4337014</v>
      </c>
      <c r="F108" s="4">
        <f t="shared" si="4"/>
        <v>2148193325.5788684</v>
      </c>
      <c r="G108" s="4">
        <f t="shared" si="5"/>
        <v>2198945913.1433105</v>
      </c>
      <c r="H108" s="4">
        <f>SalaryFTECount*SalaryPerFTE*(1+SalaryGrowth)^106</f>
        <v>13420023.007799396</v>
      </c>
      <c r="I108" s="4">
        <f>SimOpsY1*(1+SimOpsGrowth)^106</f>
        <v>104722339.62885115</v>
      </c>
      <c r="J108" s="4">
        <f>TrainDevY1*(1+TrainDevGrowth)^106</f>
        <v>52361169.814425573</v>
      </c>
      <c r="K108" s="4">
        <f>AdminY1*(1+AdminGrowth)^106</f>
        <v>9626129.8058716357</v>
      </c>
      <c r="L108" s="4">
        <f t="shared" si="6"/>
        <v>180129662.25694776</v>
      </c>
      <c r="M108" s="4">
        <f t="shared" si="7"/>
        <v>2018816250.8863628</v>
      </c>
    </row>
    <row r="109" spans="1:13" x14ac:dyDescent="0.2">
      <c r="A109" s="3">
        <f>StartYear+107</f>
        <v>2132</v>
      </c>
      <c r="B109" s="4">
        <f>FacultyFTE*HoursPerWeek*WeeksPerYear*RatePerHour*(1+PracticeGrowth)^107</f>
        <v>53290216.94266437</v>
      </c>
      <c r="C109" s="4">
        <f>StudentsY1*(1+StudentGrowth)^107*CreditsPerStudent*TuitionPerCredit</f>
        <v>333063855.89165235</v>
      </c>
      <c r="D109" s="4">
        <f>SimRevY1*(1+SimGrowth)^107</f>
        <v>1342725745.7541432</v>
      </c>
      <c r="E109" s="4">
        <f>FacDevRevY1*(1+FacDevGrowth)^107</f>
        <v>671362872.87707162</v>
      </c>
      <c r="F109" s="4">
        <f t="shared" si="4"/>
        <v>2347152474.5228672</v>
      </c>
      <c r="G109" s="4">
        <f t="shared" si="5"/>
        <v>2400442691.4655313</v>
      </c>
      <c r="H109" s="4">
        <f>SalaryFTECount*SalaryPerFTE*(1+SalaryGrowth)^107</f>
        <v>13956823.928111373</v>
      </c>
      <c r="I109" s="4">
        <f>SimOpsY1*(1+SimOpsGrowth)^107</f>
        <v>113100126.79915924</v>
      </c>
      <c r="J109" s="4">
        <f>TrainDevY1*(1+TrainDevGrowth)^107</f>
        <v>56550063.399579622</v>
      </c>
      <c r="K109" s="4">
        <f>AdminY1*(1+AdminGrowth)^107</f>
        <v>10203697.594223935</v>
      </c>
      <c r="L109" s="4">
        <f t="shared" si="6"/>
        <v>193810711.72107419</v>
      </c>
      <c r="M109" s="4">
        <f t="shared" si="7"/>
        <v>2206631979.7444572</v>
      </c>
    </row>
    <row r="110" spans="1:13" x14ac:dyDescent="0.2">
      <c r="A110" s="3">
        <f>StartYear+108</f>
        <v>2133</v>
      </c>
      <c r="B110" s="4">
        <f>FacultyFTE*HoursPerWeek*WeeksPerYear*RatePerHour*(1+PracticeGrowth)^108</f>
        <v>55954727.789797574</v>
      </c>
      <c r="C110" s="4">
        <f>StudentsY1*(1+StudentGrowth)^108*CreditsPerStudent*TuitionPerCredit</f>
        <v>349717048.68623489</v>
      </c>
      <c r="D110" s="4">
        <f>SimRevY1*(1+SimGrowth)^108</f>
        <v>1476998320.3295577</v>
      </c>
      <c r="E110" s="4">
        <f>FacDevRevY1*(1+FacDevGrowth)^108</f>
        <v>738499160.16477883</v>
      </c>
      <c r="F110" s="4">
        <f t="shared" si="4"/>
        <v>2565214529.1805716</v>
      </c>
      <c r="G110" s="4">
        <f t="shared" si="5"/>
        <v>2621169256.9703693</v>
      </c>
      <c r="H110" s="4">
        <f>SalaryFTECount*SalaryPerFTE*(1+SalaryGrowth)^108</f>
        <v>14515096.885235829</v>
      </c>
      <c r="I110" s="4">
        <f>SimOpsY1*(1+SimOpsGrowth)^108</f>
        <v>122148136.943092</v>
      </c>
      <c r="J110" s="4">
        <f>TrainDevY1*(1+TrainDevGrowth)^108</f>
        <v>61074068.471546002</v>
      </c>
      <c r="K110" s="4">
        <f>AdminY1*(1+AdminGrowth)^108</f>
        <v>10815919.449877372</v>
      </c>
      <c r="L110" s="4">
        <f t="shared" si="6"/>
        <v>208553221.74975121</v>
      </c>
      <c r="M110" s="4">
        <f t="shared" si="7"/>
        <v>2412616035.2206182</v>
      </c>
    </row>
    <row r="111" spans="1:13" x14ac:dyDescent="0.2">
      <c r="A111" s="3">
        <f>StartYear+109</f>
        <v>2134</v>
      </c>
      <c r="B111" s="4">
        <f>FacultyFTE*HoursPerWeek*WeeksPerYear*RatePerHour*(1+PracticeGrowth)^109</f>
        <v>58752464.179287471</v>
      </c>
      <c r="C111" s="4">
        <f>StudentsY1*(1+StudentGrowth)^109*CreditsPerStudent*TuitionPerCredit</f>
        <v>367202901.1205467</v>
      </c>
      <c r="D111" s="4">
        <f>SimRevY1*(1+SimGrowth)^109</f>
        <v>1624698152.3625135</v>
      </c>
      <c r="E111" s="4">
        <f>FacDevRevY1*(1+FacDevGrowth)^109</f>
        <v>812349076.18125677</v>
      </c>
      <c r="F111" s="4">
        <f t="shared" si="4"/>
        <v>2804250129.6643171</v>
      </c>
      <c r="G111" s="4">
        <f t="shared" si="5"/>
        <v>2863002593.8436046</v>
      </c>
      <c r="H111" s="4">
        <f>SalaryFTECount*SalaryPerFTE*(1+SalaryGrowth)^109</f>
        <v>15095700.760645263</v>
      </c>
      <c r="I111" s="4">
        <f>SimOpsY1*(1+SimOpsGrowth)^109</f>
        <v>131919987.89853935</v>
      </c>
      <c r="J111" s="4">
        <f>TrainDevY1*(1+TrainDevGrowth)^109</f>
        <v>65959993.949269675</v>
      </c>
      <c r="K111" s="4">
        <f>AdminY1*(1+AdminGrowth)^109</f>
        <v>11464874.616870016</v>
      </c>
      <c r="L111" s="4">
        <f t="shared" si="6"/>
        <v>224440557.2253243</v>
      </c>
      <c r="M111" s="4">
        <f t="shared" si="7"/>
        <v>2638562036.6182804</v>
      </c>
    </row>
    <row r="112" spans="1:13" x14ac:dyDescent="0.2">
      <c r="A112" s="3">
        <f>StartYear+110</f>
        <v>2135</v>
      </c>
      <c r="B112" s="4">
        <f>FacultyFTE*HoursPerWeek*WeeksPerYear*RatePerHour*(1+PracticeGrowth)^110</f>
        <v>61690087.388251826</v>
      </c>
      <c r="C112" s="4">
        <f>StudentsY1*(1+StudentGrowth)^110*CreditsPerStudent*TuitionPerCredit</f>
        <v>385563046.17657387</v>
      </c>
      <c r="D112" s="4">
        <f>SimRevY1*(1+SimGrowth)^110</f>
        <v>1787167967.5987651</v>
      </c>
      <c r="E112" s="4">
        <f>FacDevRevY1*(1+FacDevGrowth)^110</f>
        <v>893583983.79938257</v>
      </c>
      <c r="F112" s="4">
        <f t="shared" si="4"/>
        <v>3066314997.5747218</v>
      </c>
      <c r="G112" s="4">
        <f t="shared" si="5"/>
        <v>3128005084.9629736</v>
      </c>
      <c r="H112" s="4">
        <f>SalaryFTECount*SalaryPerFTE*(1+SalaryGrowth)^110</f>
        <v>15699528.791071076</v>
      </c>
      <c r="I112" s="4">
        <f>SimOpsY1*(1+SimOpsGrowth)^110</f>
        <v>142473586.93042251</v>
      </c>
      <c r="J112" s="4">
        <f>TrainDevY1*(1+TrainDevGrowth)^110</f>
        <v>71236793.465211257</v>
      </c>
      <c r="K112" s="4">
        <f>AdminY1*(1+AdminGrowth)^110</f>
        <v>12152767.093882216</v>
      </c>
      <c r="L112" s="4">
        <f t="shared" si="6"/>
        <v>241562676.28058708</v>
      </c>
      <c r="M112" s="4">
        <f t="shared" si="7"/>
        <v>2886442408.6823864</v>
      </c>
    </row>
    <row r="113" spans="1:13" x14ac:dyDescent="0.2">
      <c r="A113" s="3">
        <f>StartYear+111</f>
        <v>2136</v>
      </c>
      <c r="B113" s="4">
        <f>FacultyFTE*HoursPerWeek*WeeksPerYear*RatePerHour*(1+PracticeGrowth)^111</f>
        <v>64774591.757664442</v>
      </c>
      <c r="C113" s="4">
        <f>StudentsY1*(1+StudentGrowth)^111*CreditsPerStudent*TuitionPerCredit</f>
        <v>404841198.48540276</v>
      </c>
      <c r="D113" s="4">
        <f>SimRevY1*(1+SimGrowth)^111</f>
        <v>1965884764.3586419</v>
      </c>
      <c r="E113" s="4">
        <f>FacDevRevY1*(1+FacDevGrowth)^111</f>
        <v>982942382.17932093</v>
      </c>
      <c r="F113" s="4">
        <f t="shared" si="4"/>
        <v>3353668345.0233655</v>
      </c>
      <c r="G113" s="4">
        <f t="shared" si="5"/>
        <v>3418442936.7810297</v>
      </c>
      <c r="H113" s="4">
        <f>SalaryFTECount*SalaryPerFTE*(1+SalaryGrowth)^111</f>
        <v>16327509.942713918</v>
      </c>
      <c r="I113" s="4">
        <f>SimOpsY1*(1+SimOpsGrowth)^111</f>
        <v>153871473.88485634</v>
      </c>
      <c r="J113" s="4">
        <f>TrainDevY1*(1+TrainDevGrowth)^111</f>
        <v>76935736.942428172</v>
      </c>
      <c r="K113" s="4">
        <f>AdminY1*(1+AdminGrowth)^111</f>
        <v>12881933.119515151</v>
      </c>
      <c r="L113" s="4">
        <f t="shared" si="6"/>
        <v>260016653.88951358</v>
      </c>
      <c r="M113" s="4">
        <f t="shared" si="7"/>
        <v>3158426282.8915162</v>
      </c>
    </row>
    <row r="114" spans="1:13" x14ac:dyDescent="0.2">
      <c r="A114" s="3">
        <f>StartYear+112</f>
        <v>2137</v>
      </c>
      <c r="B114" s="4">
        <f>FacultyFTE*HoursPerWeek*WeeksPerYear*RatePerHour*(1+PracticeGrowth)^112</f>
        <v>68013321.345547661</v>
      </c>
      <c r="C114" s="4">
        <f>StudentsY1*(1+StudentGrowth)^112*CreditsPerStudent*TuitionPerCredit</f>
        <v>425083258.40967286</v>
      </c>
      <c r="D114" s="4">
        <f>SimRevY1*(1+SimGrowth)^112</f>
        <v>2162473240.7945061</v>
      </c>
      <c r="E114" s="4">
        <f>FacDevRevY1*(1+FacDevGrowth)^112</f>
        <v>1081236620.397253</v>
      </c>
      <c r="F114" s="4">
        <f t="shared" si="4"/>
        <v>3668793119.6014318</v>
      </c>
      <c r="G114" s="4">
        <f t="shared" si="5"/>
        <v>3736806440.9469795</v>
      </c>
      <c r="H114" s="4">
        <f>SalaryFTECount*SalaryPerFTE*(1+SalaryGrowth)^112</f>
        <v>16980610.340422478</v>
      </c>
      <c r="I114" s="4">
        <f>SimOpsY1*(1+SimOpsGrowth)^112</f>
        <v>166181191.79564485</v>
      </c>
      <c r="J114" s="4">
        <f>TrainDevY1*(1+TrainDevGrowth)^112</f>
        <v>83090595.897822425</v>
      </c>
      <c r="K114" s="4">
        <f>AdminY1*(1+AdminGrowth)^112</f>
        <v>13654849.106686058</v>
      </c>
      <c r="L114" s="4">
        <f t="shared" si="6"/>
        <v>279907247.14057583</v>
      </c>
      <c r="M114" s="4">
        <f t="shared" si="7"/>
        <v>3456899193.8064036</v>
      </c>
    </row>
    <row r="115" spans="1:13" x14ac:dyDescent="0.2">
      <c r="A115" s="3">
        <f>StartYear+113</f>
        <v>2138</v>
      </c>
      <c r="B115" s="4">
        <f>FacultyFTE*HoursPerWeek*WeeksPerYear*RatePerHour*(1+PracticeGrowth)^113</f>
        <v>71413987.412825048</v>
      </c>
      <c r="C115" s="4">
        <f>StudentsY1*(1+StudentGrowth)^113*CreditsPerStudent*TuitionPerCredit</f>
        <v>446337421.33015651</v>
      </c>
      <c r="D115" s="4">
        <f>SimRevY1*(1+SimGrowth)^113</f>
        <v>2378720564.8739567</v>
      </c>
      <c r="E115" s="4">
        <f>FacDevRevY1*(1+FacDevGrowth)^113</f>
        <v>1189360282.4369783</v>
      </c>
      <c r="F115" s="4">
        <f t="shared" si="4"/>
        <v>4014418268.6410913</v>
      </c>
      <c r="G115" s="4">
        <f t="shared" si="5"/>
        <v>4085832256.0539165</v>
      </c>
      <c r="H115" s="4">
        <f>SalaryFTECount*SalaryPerFTE*(1+SalaryGrowth)^113</f>
        <v>17659834.754039373</v>
      </c>
      <c r="I115" s="4">
        <f>SimOpsY1*(1+SimOpsGrowth)^113</f>
        <v>179475687.13929641</v>
      </c>
      <c r="J115" s="4">
        <f>TrainDevY1*(1+TrainDevGrowth)^113</f>
        <v>89737843.569648206</v>
      </c>
      <c r="K115" s="4">
        <f>AdminY1*(1+AdminGrowth)^113</f>
        <v>14474140.053087223</v>
      </c>
      <c r="L115" s="4">
        <f t="shared" si="6"/>
        <v>301347505.5160712</v>
      </c>
      <c r="M115" s="4">
        <f t="shared" si="7"/>
        <v>3784484750.5378451</v>
      </c>
    </row>
    <row r="116" spans="1:13" x14ac:dyDescent="0.2">
      <c r="A116" s="3">
        <f>StartYear+114</f>
        <v>2139</v>
      </c>
      <c r="B116" s="4">
        <f>FacultyFTE*HoursPerWeek*WeeksPerYear*RatePerHour*(1+PracticeGrowth)^114</f>
        <v>74984686.783466309</v>
      </c>
      <c r="C116" s="4">
        <f>StudentsY1*(1+StudentGrowth)^114*CreditsPerStudent*TuitionPerCredit</f>
        <v>468654292.39666444</v>
      </c>
      <c r="D116" s="4">
        <f>SimRevY1*(1+SimGrowth)^114</f>
        <v>2616592621.3613524</v>
      </c>
      <c r="E116" s="4">
        <f>FacDevRevY1*(1+FacDevGrowth)^114</f>
        <v>1308296310.6806762</v>
      </c>
      <c r="F116" s="4">
        <f t="shared" si="4"/>
        <v>4393543224.438693</v>
      </c>
      <c r="G116" s="4">
        <f t="shared" si="5"/>
        <v>4468527911.2221594</v>
      </c>
      <c r="H116" s="4">
        <f>SalaryFTECount*SalaryPerFTE*(1+SalaryGrowth)^114</f>
        <v>18366228.144200955</v>
      </c>
      <c r="I116" s="4">
        <f>SimOpsY1*(1+SimOpsGrowth)^114</f>
        <v>193833742.11044016</v>
      </c>
      <c r="J116" s="4">
        <f>TrainDevY1*(1+TrainDevGrowth)^114</f>
        <v>96916871.055220082</v>
      </c>
      <c r="K116" s="4">
        <f>AdminY1*(1+AdminGrowth)^114</f>
        <v>15342588.456272457</v>
      </c>
      <c r="L116" s="4">
        <f t="shared" si="6"/>
        <v>324459429.76613367</v>
      </c>
      <c r="M116" s="4">
        <f t="shared" si="7"/>
        <v>4144068481.4560256</v>
      </c>
    </row>
    <row r="117" spans="1:13" x14ac:dyDescent="0.2">
      <c r="A117" s="3">
        <f>StartYear+115</f>
        <v>2140</v>
      </c>
      <c r="B117" s="4">
        <f>FacultyFTE*HoursPerWeek*WeeksPerYear*RatePerHour*(1+PracticeGrowth)^115</f>
        <v>78733921.122639611</v>
      </c>
      <c r="C117" s="4">
        <f>StudentsY1*(1+StudentGrowth)^115*CreditsPerStudent*TuitionPerCredit</f>
        <v>492087007.01649755</v>
      </c>
      <c r="D117" s="4">
        <f>SimRevY1*(1+SimGrowth)^115</f>
        <v>2878251883.497488</v>
      </c>
      <c r="E117" s="4">
        <f>FacDevRevY1*(1+FacDevGrowth)^115</f>
        <v>1439125941.748744</v>
      </c>
      <c r="F117" s="4">
        <f t="shared" si="4"/>
        <v>4809464832.2627296</v>
      </c>
      <c r="G117" s="4">
        <f t="shared" si="5"/>
        <v>4888198753.3853693</v>
      </c>
      <c r="H117" s="4">
        <f>SalaryFTECount*SalaryPerFTE*(1+SalaryGrowth)^115</f>
        <v>19100877.26996899</v>
      </c>
      <c r="I117" s="4">
        <f>SimOpsY1*(1+SimOpsGrowth)^115</f>
        <v>209340441.47927541</v>
      </c>
      <c r="J117" s="4">
        <f>TrainDevY1*(1+TrainDevGrowth)^115</f>
        <v>104670220.7396377</v>
      </c>
      <c r="K117" s="4">
        <f>AdminY1*(1+AdminGrowth)^115</f>
        <v>16263143.763648804</v>
      </c>
      <c r="L117" s="4">
        <f t="shared" si="6"/>
        <v>349374683.25253087</v>
      </c>
      <c r="M117" s="4">
        <f t="shared" si="7"/>
        <v>4538824070.1328382</v>
      </c>
    </row>
    <row r="118" spans="1:13" x14ac:dyDescent="0.2">
      <c r="A118" s="3">
        <f>StartYear+116</f>
        <v>2141</v>
      </c>
      <c r="B118" s="4">
        <f>FacultyFTE*HoursPerWeek*WeeksPerYear*RatePerHour*(1+PracticeGrowth)^116</f>
        <v>82670617.1787716</v>
      </c>
      <c r="C118" s="4">
        <f>StudentsY1*(1+StudentGrowth)^116*CreditsPerStudent*TuitionPerCredit</f>
        <v>516691357.3673225</v>
      </c>
      <c r="D118" s="4">
        <f>SimRevY1*(1+SimGrowth)^116</f>
        <v>3166077071.8472371</v>
      </c>
      <c r="E118" s="4">
        <f>FacDevRevY1*(1+FacDevGrowth)^116</f>
        <v>1583038535.9236186</v>
      </c>
      <c r="F118" s="4">
        <f t="shared" si="4"/>
        <v>5265806965.1381779</v>
      </c>
      <c r="G118" s="4">
        <f t="shared" si="5"/>
        <v>5348477582.3169498</v>
      </c>
      <c r="H118" s="4">
        <f>SalaryFTECount*SalaryPerFTE*(1+SalaryGrowth)^116</f>
        <v>19864912.360767748</v>
      </c>
      <c r="I118" s="4">
        <f>SimOpsY1*(1+SimOpsGrowth)^116</f>
        <v>226087676.79761744</v>
      </c>
      <c r="J118" s="4">
        <f>TrainDevY1*(1+TrainDevGrowth)^116</f>
        <v>113043838.39880872</v>
      </c>
      <c r="K118" s="4">
        <f>AdminY1*(1+AdminGrowth)^116</f>
        <v>17238932.389467735</v>
      </c>
      <c r="L118" s="4">
        <f t="shared" si="6"/>
        <v>376235359.94666159</v>
      </c>
      <c r="M118" s="4">
        <f t="shared" si="7"/>
        <v>4972242222.3702879</v>
      </c>
    </row>
    <row r="119" spans="1:13" x14ac:dyDescent="0.2">
      <c r="A119" s="3">
        <f>StartYear+117</f>
        <v>2142</v>
      </c>
      <c r="B119" s="4">
        <f>FacultyFTE*HoursPerWeek*WeeksPerYear*RatePerHour*(1+PracticeGrowth)^117</f>
        <v>86804148.03771016</v>
      </c>
      <c r="C119" s="4">
        <f>StudentsY1*(1+StudentGrowth)^117*CreditsPerStudent*TuitionPerCredit</f>
        <v>542525925.23568845</v>
      </c>
      <c r="D119" s="4">
        <f>SimRevY1*(1+SimGrowth)^117</f>
        <v>3482684779.031961</v>
      </c>
      <c r="E119" s="4">
        <f>FacDevRevY1*(1+FacDevGrowth)^117</f>
        <v>1741342389.5159805</v>
      </c>
      <c r="F119" s="4">
        <f t="shared" si="4"/>
        <v>5766553093.7836304</v>
      </c>
      <c r="G119" s="4">
        <f t="shared" si="5"/>
        <v>5853357241.8213406</v>
      </c>
      <c r="H119" s="4">
        <f>SalaryFTECount*SalaryPerFTE*(1+SalaryGrowth)^117</f>
        <v>20659508.855198465</v>
      </c>
      <c r="I119" s="4">
        <f>SimOpsY1*(1+SimOpsGrowth)^117</f>
        <v>244174690.94142681</v>
      </c>
      <c r="J119" s="4">
        <f>TrainDevY1*(1+TrainDevGrowth)^117</f>
        <v>122087345.47071341</v>
      </c>
      <c r="K119" s="4">
        <f>AdminY1*(1+AdminGrowth)^117</f>
        <v>18273268.332835805</v>
      </c>
      <c r="L119" s="4">
        <f t="shared" si="6"/>
        <v>405194813.60017449</v>
      </c>
      <c r="M119" s="4">
        <f t="shared" si="7"/>
        <v>5448162428.2211657</v>
      </c>
    </row>
    <row r="120" spans="1:13" x14ac:dyDescent="0.2">
      <c r="A120" s="3">
        <f>StartYear+118</f>
        <v>2143</v>
      </c>
      <c r="B120" s="4">
        <f>FacultyFTE*HoursPerWeek*WeeksPerYear*RatePerHour*(1+PracticeGrowth)^118</f>
        <v>91144355.439595655</v>
      </c>
      <c r="C120" s="4">
        <f>StudentsY1*(1+StudentGrowth)^118*CreditsPerStudent*TuitionPerCredit</f>
        <v>569652221.49747288</v>
      </c>
      <c r="D120" s="4">
        <f>SimRevY1*(1+SimGrowth)^118</f>
        <v>3830953256.9351578</v>
      </c>
      <c r="E120" s="4">
        <f>FacDevRevY1*(1+FacDevGrowth)^118</f>
        <v>1915476628.4675789</v>
      </c>
      <c r="F120" s="4">
        <f t="shared" si="4"/>
        <v>6316082106.9002094</v>
      </c>
      <c r="G120" s="4">
        <f t="shared" si="5"/>
        <v>6407226462.3398046</v>
      </c>
      <c r="H120" s="4">
        <f>SalaryFTECount*SalaryPerFTE*(1+SalaryGrowth)^118</f>
        <v>21485889.209406402</v>
      </c>
      <c r="I120" s="4">
        <f>SimOpsY1*(1+SimOpsGrowth)^118</f>
        <v>263708666.216741</v>
      </c>
      <c r="J120" s="4">
        <f>TrainDevY1*(1+TrainDevGrowth)^118</f>
        <v>131854333.1083705</v>
      </c>
      <c r="K120" s="4">
        <f>AdminY1*(1+AdminGrowth)^118</f>
        <v>19369664.432805952</v>
      </c>
      <c r="L120" s="4">
        <f t="shared" si="6"/>
        <v>436418552.96732384</v>
      </c>
      <c r="M120" s="4">
        <f t="shared" si="7"/>
        <v>5970807909.3724804</v>
      </c>
    </row>
    <row r="121" spans="1:13" x14ac:dyDescent="0.2">
      <c r="A121" s="3">
        <f>StartYear+119</f>
        <v>2144</v>
      </c>
      <c r="B121" s="4">
        <f>FacultyFTE*HoursPerWeek*WeeksPerYear*RatePerHour*(1+PracticeGrowth)^119</f>
        <v>95701573.211575463</v>
      </c>
      <c r="C121" s="4">
        <f>StudentsY1*(1+StudentGrowth)^119*CreditsPerStudent*TuitionPerCredit</f>
        <v>598134832.57234657</v>
      </c>
      <c r="D121" s="4">
        <f>SimRevY1*(1+SimGrowth)^119</f>
        <v>4214048582.628674</v>
      </c>
      <c r="E121" s="4">
        <f>FacDevRevY1*(1+FacDevGrowth)^119</f>
        <v>2107024291.314337</v>
      </c>
      <c r="F121" s="4">
        <f t="shared" si="4"/>
        <v>6919207706.515357</v>
      </c>
      <c r="G121" s="4">
        <f t="shared" si="5"/>
        <v>7014909279.7269325</v>
      </c>
      <c r="H121" s="4">
        <f>SalaryFTECount*SalaryPerFTE*(1+SalaryGrowth)^119</f>
        <v>22345324.777782656</v>
      </c>
      <c r="I121" s="4">
        <f>SimOpsY1*(1+SimOpsGrowth)^119</f>
        <v>284805359.51408029</v>
      </c>
      <c r="J121" s="4">
        <f>TrainDevY1*(1+TrainDevGrowth)^119</f>
        <v>142402679.75704014</v>
      </c>
      <c r="K121" s="4">
        <f>AdminY1*(1+AdminGrowth)^119</f>
        <v>20531844.298774309</v>
      </c>
      <c r="L121" s="4">
        <f t="shared" si="6"/>
        <v>470085208.34767741</v>
      </c>
      <c r="M121" s="4">
        <f t="shared" si="7"/>
        <v>6544824071.3792553</v>
      </c>
    </row>
    <row r="122" spans="1:13" x14ac:dyDescent="0.2">
      <c r="A122" s="3">
        <f>StartYear+120</f>
        <v>2145</v>
      </c>
      <c r="B122" s="4">
        <f>FacultyFTE*HoursPerWeek*WeeksPerYear*RatePerHour*(1+PracticeGrowth)^120</f>
        <v>100486651.87215424</v>
      </c>
      <c r="C122" s="4">
        <f>StudentsY1*(1+StudentGrowth)^120*CreditsPerStudent*TuitionPerCredit</f>
        <v>628041574.20096385</v>
      </c>
      <c r="D122" s="4">
        <f>SimRevY1*(1+SimGrowth)^120</f>
        <v>4635453440.8915405</v>
      </c>
      <c r="E122" s="4">
        <f>FacDevRevY1*(1+FacDevGrowth)^120</f>
        <v>2317726720.4457703</v>
      </c>
      <c r="F122" s="4">
        <f t="shared" si="4"/>
        <v>7581221735.5382748</v>
      </c>
      <c r="G122" s="4">
        <f t="shared" si="5"/>
        <v>7681708387.410429</v>
      </c>
      <c r="H122" s="4">
        <f>SalaryFTECount*SalaryPerFTE*(1+SalaryGrowth)^120</f>
        <v>23239137.768893965</v>
      </c>
      <c r="I122" s="4">
        <f>SimOpsY1*(1+SimOpsGrowth)^120</f>
        <v>307589788.27520674</v>
      </c>
      <c r="J122" s="4">
        <f>TrainDevY1*(1+TrainDevGrowth)^120</f>
        <v>153794894.13760337</v>
      </c>
      <c r="K122" s="4">
        <f>AdminY1*(1+AdminGrowth)^120</f>
        <v>21763754.956700765</v>
      </c>
      <c r="L122" s="4">
        <f t="shared" si="6"/>
        <v>506387575.13840479</v>
      </c>
      <c r="M122" s="4">
        <f t="shared" si="7"/>
        <v>7175320812.2720242</v>
      </c>
    </row>
    <row r="123" spans="1:13" x14ac:dyDescent="0.2">
      <c r="A123" s="3">
        <f>StartYear+121</f>
        <v>2146</v>
      </c>
      <c r="B123" s="4">
        <f>FacultyFTE*HoursPerWeek*WeeksPerYear*RatePerHour*(1+PracticeGrowth)^121</f>
        <v>105510984.46576196</v>
      </c>
      <c r="C123" s="4">
        <f>StudentsY1*(1+StudentGrowth)^121*CreditsPerStudent*TuitionPerCredit</f>
        <v>659443652.91101217</v>
      </c>
      <c r="D123" s="4">
        <f>SimRevY1*(1+SimGrowth)^121</f>
        <v>5098998784.9806957</v>
      </c>
      <c r="E123" s="4">
        <f>FacDevRevY1*(1+FacDevGrowth)^121</f>
        <v>2549499392.4903479</v>
      </c>
      <c r="F123" s="4">
        <f t="shared" si="4"/>
        <v>8307941830.3820562</v>
      </c>
      <c r="G123" s="4">
        <f t="shared" si="5"/>
        <v>8413452814.8478184</v>
      </c>
      <c r="H123" s="4">
        <f>SalaryFTECount*SalaryPerFTE*(1+SalaryGrowth)^121</f>
        <v>24168703.279649731</v>
      </c>
      <c r="I123" s="4">
        <f>SimOpsY1*(1+SimOpsGrowth)^121</f>
        <v>332196971.33722329</v>
      </c>
      <c r="J123" s="4">
        <f>TrainDevY1*(1+TrainDevGrowth)^121</f>
        <v>166098485.66861165</v>
      </c>
      <c r="K123" s="4">
        <f>AdminY1*(1+AdminGrowth)^121</f>
        <v>23069580.254102811</v>
      </c>
      <c r="L123" s="4">
        <f t="shared" si="6"/>
        <v>545533740.5395875</v>
      </c>
      <c r="M123" s="4">
        <f t="shared" si="7"/>
        <v>7867919074.3082314</v>
      </c>
    </row>
    <row r="124" spans="1:13" x14ac:dyDescent="0.2">
      <c r="A124" s="3">
        <f>StartYear+122</f>
        <v>2147</v>
      </c>
      <c r="B124" s="4">
        <f>FacultyFTE*HoursPerWeek*WeeksPerYear*RatePerHour*(1+PracticeGrowth)^122</f>
        <v>110786533.68905006</v>
      </c>
      <c r="C124" s="4">
        <f>StudentsY1*(1+StudentGrowth)^122*CreditsPerStudent*TuitionPerCredit</f>
        <v>692415835.55656278</v>
      </c>
      <c r="D124" s="4">
        <f>SimRevY1*(1+SimGrowth)^122</f>
        <v>5608898663.4787655</v>
      </c>
      <c r="E124" s="4">
        <f>FacDevRevY1*(1+FacDevGrowth)^122</f>
        <v>2804449331.7393827</v>
      </c>
      <c r="F124" s="4">
        <f t="shared" si="4"/>
        <v>9105763830.7747116</v>
      </c>
      <c r="G124" s="4">
        <f t="shared" si="5"/>
        <v>9216550364.4637623</v>
      </c>
      <c r="H124" s="4">
        <f>SalaryFTECount*SalaryPerFTE*(1+SalaryGrowth)^122</f>
        <v>25135451.410835713</v>
      </c>
      <c r="I124" s="4">
        <f>SimOpsY1*(1+SimOpsGrowth)^122</f>
        <v>358772729.0442012</v>
      </c>
      <c r="J124" s="4">
        <f>TrainDevY1*(1+TrainDevGrowth)^122</f>
        <v>179386364.5221006</v>
      </c>
      <c r="K124" s="4">
        <f>AdminY1*(1+AdminGrowth)^122</f>
        <v>24453755.06934898</v>
      </c>
      <c r="L124" s="4">
        <f t="shared" si="6"/>
        <v>587748300.04648638</v>
      </c>
      <c r="M124" s="4">
        <f t="shared" si="7"/>
        <v>8628802064.4172764</v>
      </c>
    </row>
    <row r="125" spans="1:13" x14ac:dyDescent="0.2">
      <c r="A125" s="3">
        <f>StartYear+123</f>
        <v>2148</v>
      </c>
      <c r="B125" s="4">
        <f>FacultyFTE*HoursPerWeek*WeeksPerYear*RatePerHour*(1+PracticeGrowth)^123</f>
        <v>116325860.37350257</v>
      </c>
      <c r="C125" s="4">
        <f>StudentsY1*(1+StudentGrowth)^123*CreditsPerStudent*TuitionPerCredit</f>
        <v>727036627.334391</v>
      </c>
      <c r="D125" s="4">
        <f>SimRevY1*(1+SimGrowth)^123</f>
        <v>6169788529.826643</v>
      </c>
      <c r="E125" s="4">
        <f>FacDevRevY1*(1+FacDevGrowth)^123</f>
        <v>3084894264.9133215</v>
      </c>
      <c r="F125" s="4">
        <f t="shared" si="4"/>
        <v>9981719422.0743561</v>
      </c>
      <c r="G125" s="4">
        <f t="shared" si="5"/>
        <v>10098045282.447859</v>
      </c>
      <c r="H125" s="4">
        <f>SalaryFTECount*SalaryPerFTE*(1+SalaryGrowth)^123</f>
        <v>26140869.467269141</v>
      </c>
      <c r="I125" s="4">
        <f>SimOpsY1*(1+SimOpsGrowth)^123</f>
        <v>387474547.36773723</v>
      </c>
      <c r="J125" s="4">
        <f>TrainDevY1*(1+TrainDevGrowth)^123</f>
        <v>193737273.68386862</v>
      </c>
      <c r="K125" s="4">
        <f>AdminY1*(1+AdminGrowth)^123</f>
        <v>25920980.373509925</v>
      </c>
      <c r="L125" s="4">
        <f t="shared" si="6"/>
        <v>633273670.89238489</v>
      </c>
      <c r="M125" s="4">
        <f t="shared" si="7"/>
        <v>9464771611.5554733</v>
      </c>
    </row>
    <row r="126" spans="1:13" x14ac:dyDescent="0.2">
      <c r="A126" s="3">
        <f>StartYear+124</f>
        <v>2149</v>
      </c>
      <c r="B126" s="4">
        <f>FacultyFTE*HoursPerWeek*WeeksPerYear*RatePerHour*(1+PracticeGrowth)^124</f>
        <v>122142153.39217769</v>
      </c>
      <c r="C126" s="4">
        <f>StudentsY1*(1+StudentGrowth)^124*CreditsPerStudent*TuitionPerCredit</f>
        <v>763388458.70111048</v>
      </c>
      <c r="D126" s="4">
        <f>SimRevY1*(1+SimGrowth)^124</f>
        <v>6786767382.8093061</v>
      </c>
      <c r="E126" s="4">
        <f>FacDevRevY1*(1+FacDevGrowth)^124</f>
        <v>3393383691.4046531</v>
      </c>
      <c r="F126" s="4">
        <f t="shared" si="4"/>
        <v>10943539532.91507</v>
      </c>
      <c r="G126" s="4">
        <f t="shared" si="5"/>
        <v>11065681686.307247</v>
      </c>
      <c r="H126" s="4">
        <f>SalaryFTECount*SalaryPerFTE*(1+SalaryGrowth)^124</f>
        <v>27186504.245959915</v>
      </c>
      <c r="I126" s="4">
        <f>SimOpsY1*(1+SimOpsGrowth)^124</f>
        <v>418472511.15715623</v>
      </c>
      <c r="J126" s="4">
        <f>TrainDevY1*(1+TrainDevGrowth)^124</f>
        <v>209236255.57857811</v>
      </c>
      <c r="K126" s="4">
        <f>AdminY1*(1+AdminGrowth)^124</f>
        <v>27476239.195920516</v>
      </c>
      <c r="L126" s="4">
        <f t="shared" si="6"/>
        <v>682371510.17761469</v>
      </c>
      <c r="M126" s="4">
        <f t="shared" si="7"/>
        <v>10383310176.129633</v>
      </c>
    </row>
    <row r="127" spans="1:13" x14ac:dyDescent="0.2">
      <c r="A127" s="3">
        <f>StartYear+125</f>
        <v>2150</v>
      </c>
      <c r="B127" s="4">
        <f>FacultyFTE*HoursPerWeek*WeeksPerYear*RatePerHour*(1+PracticeGrowth)^125</f>
        <v>128249261.06178658</v>
      </c>
      <c r="C127" s="4">
        <f>StudentsY1*(1+StudentGrowth)^125*CreditsPerStudent*TuitionPerCredit</f>
        <v>801557881.6361661</v>
      </c>
      <c r="D127" s="4">
        <f>SimRevY1*(1+SimGrowth)^125</f>
        <v>7465444121.0902386</v>
      </c>
      <c r="E127" s="4">
        <f>FacDevRevY1*(1+FacDevGrowth)^125</f>
        <v>3732722060.5451193</v>
      </c>
      <c r="F127" s="4">
        <f t="shared" si="4"/>
        <v>11999724063.271523</v>
      </c>
      <c r="G127" s="4">
        <f t="shared" si="5"/>
        <v>12127973324.333309</v>
      </c>
      <c r="H127" s="4">
        <f>SalaryFTECount*SalaryPerFTE*(1+SalaryGrowth)^125</f>
        <v>28273964.415798314</v>
      </c>
      <c r="I127" s="4">
        <f>SimOpsY1*(1+SimOpsGrowth)^125</f>
        <v>451950312.04972881</v>
      </c>
      <c r="J127" s="4">
        <f>TrainDevY1*(1+TrainDevGrowth)^125</f>
        <v>225975156.02486441</v>
      </c>
      <c r="K127" s="4">
        <f>AdminY1*(1+AdminGrowth)^125</f>
        <v>29124813.547675759</v>
      </c>
      <c r="L127" s="4">
        <f t="shared" si="6"/>
        <v>735324246.03806722</v>
      </c>
      <c r="M127" s="4">
        <f t="shared" si="7"/>
        <v>11392649078.295242</v>
      </c>
    </row>
    <row r="128" spans="1:13" x14ac:dyDescent="0.2">
      <c r="A128" s="3">
        <f>StartYear+126</f>
        <v>2151</v>
      </c>
      <c r="B128" s="4">
        <f>FacultyFTE*HoursPerWeek*WeeksPerYear*RatePerHour*(1+PracticeGrowth)^126</f>
        <v>134661724.11487585</v>
      </c>
      <c r="C128" s="4">
        <f>StudentsY1*(1+StudentGrowth)^126*CreditsPerStudent*TuitionPerCredit</f>
        <v>841635775.71797407</v>
      </c>
      <c r="D128" s="4">
        <f>SimRevY1*(1+SimGrowth)^126</f>
        <v>8211988533.1992645</v>
      </c>
      <c r="E128" s="4">
        <f>FacDevRevY1*(1+FacDevGrowth)^126</f>
        <v>4105994266.5996323</v>
      </c>
      <c r="F128" s="4">
        <f t="shared" si="4"/>
        <v>13159618575.51687</v>
      </c>
      <c r="G128" s="4">
        <f t="shared" si="5"/>
        <v>13294280299.631746</v>
      </c>
      <c r="H128" s="4">
        <f>SalaryFTECount*SalaryPerFTE*(1+SalaryGrowth)^126</f>
        <v>29404922.99243024</v>
      </c>
      <c r="I128" s="4">
        <f>SimOpsY1*(1+SimOpsGrowth)^126</f>
        <v>488106337.01370716</v>
      </c>
      <c r="J128" s="4">
        <f>TrainDevY1*(1+TrainDevGrowth)^126</f>
        <v>244053168.50685358</v>
      </c>
      <c r="K128" s="4">
        <f>AdminY1*(1+AdminGrowth)^126</f>
        <v>30872302.3605363</v>
      </c>
      <c r="L128" s="4">
        <f t="shared" si="6"/>
        <v>792436730.87352729</v>
      </c>
      <c r="M128" s="4">
        <f t="shared" si="7"/>
        <v>12501843568.758219</v>
      </c>
    </row>
    <row r="129" spans="1:13" x14ac:dyDescent="0.2">
      <c r="A129" s="3">
        <f>StartYear+127</f>
        <v>2152</v>
      </c>
      <c r="B129" s="4">
        <f>FacultyFTE*HoursPerWeek*WeeksPerYear*RatePerHour*(1+PracticeGrowth)^127</f>
        <v>141394810.3206197</v>
      </c>
      <c r="C129" s="4">
        <f>StudentsY1*(1+StudentGrowth)^127*CreditsPerStudent*TuitionPerCredit</f>
        <v>883717564.50387311</v>
      </c>
      <c r="D129" s="4">
        <f>SimRevY1*(1+SimGrowth)^127</f>
        <v>9033187386.5191898</v>
      </c>
      <c r="E129" s="4">
        <f>FacDevRevY1*(1+FacDevGrowth)^127</f>
        <v>4516593693.2595949</v>
      </c>
      <c r="F129" s="4">
        <f t="shared" si="4"/>
        <v>14433498644.282658</v>
      </c>
      <c r="G129" s="4">
        <f t="shared" si="5"/>
        <v>14574893454.603277</v>
      </c>
      <c r="H129" s="4">
        <f>SalaryFTECount*SalaryPerFTE*(1+SalaryGrowth)^127</f>
        <v>30581119.91212745</v>
      </c>
      <c r="I129" s="4">
        <f>SimOpsY1*(1+SimOpsGrowth)^127</f>
        <v>527154843.97480386</v>
      </c>
      <c r="J129" s="4">
        <f>TrainDevY1*(1+TrainDevGrowth)^127</f>
        <v>263577421.98740193</v>
      </c>
      <c r="K129" s="4">
        <f>AdminY1*(1+AdminGrowth)^127</f>
        <v>32724640.502168488</v>
      </c>
      <c r="L129" s="4">
        <f t="shared" si="6"/>
        <v>854038026.3765018</v>
      </c>
      <c r="M129" s="4">
        <f t="shared" si="7"/>
        <v>13720855428.226776</v>
      </c>
    </row>
    <row r="130" spans="1:13" x14ac:dyDescent="0.2">
      <c r="A130" s="3">
        <f>StartYear+128</f>
        <v>2153</v>
      </c>
      <c r="B130" s="4">
        <f>FacultyFTE*HoursPerWeek*WeeksPerYear*RatePerHour*(1+PracticeGrowth)^128</f>
        <v>148464550.8366507</v>
      </c>
      <c r="C130" s="4">
        <f>StudentsY1*(1+StudentGrowth)^128*CreditsPerStudent*TuitionPerCredit</f>
        <v>927903442.72906685</v>
      </c>
      <c r="D130" s="4">
        <f>SimRevY1*(1+SimGrowth)^128</f>
        <v>9936506125.1711082</v>
      </c>
      <c r="E130" s="4">
        <f>FacDevRevY1*(1+FacDevGrowth)^128</f>
        <v>4968253062.5855541</v>
      </c>
      <c r="F130" s="4">
        <f t="shared" ref="F130:F193" si="8">C130+D130+E130</f>
        <v>15832662630.485729</v>
      </c>
      <c r="G130" s="4">
        <f t="shared" ref="G130:G193" si="9">B130+F130</f>
        <v>15981127181.32238</v>
      </c>
      <c r="H130" s="4">
        <f>SalaryFTECount*SalaryPerFTE*(1+SalaryGrowth)^128</f>
        <v>31804364.708612558</v>
      </c>
      <c r="I130" s="4">
        <f>SimOpsY1*(1+SimOpsGrowth)^128</f>
        <v>569327231.4927882</v>
      </c>
      <c r="J130" s="4">
        <f>TrainDevY1*(1+TrainDevGrowth)^128</f>
        <v>284663615.7463941</v>
      </c>
      <c r="K130" s="4">
        <f>AdminY1*(1+AdminGrowth)^128</f>
        <v>34688118.932298586</v>
      </c>
      <c r="L130" s="4">
        <f t="shared" ref="L130:L193" si="10">SUM(H130:K130)</f>
        <v>920483330.88009346</v>
      </c>
      <c r="M130" s="4">
        <f t="shared" ref="M130:M193" si="11">G130-L130</f>
        <v>15060643850.442287</v>
      </c>
    </row>
    <row r="131" spans="1:13" x14ac:dyDescent="0.2">
      <c r="A131" s="3">
        <f>StartYear+129</f>
        <v>2154</v>
      </c>
      <c r="B131" s="4">
        <f>FacultyFTE*HoursPerWeek*WeeksPerYear*RatePerHour*(1+PracticeGrowth)^129</f>
        <v>155887778.37848324</v>
      </c>
      <c r="C131" s="4">
        <f>StudentsY1*(1+StudentGrowth)^129*CreditsPerStudent*TuitionPerCredit</f>
        <v>974298614.86552024</v>
      </c>
      <c r="D131" s="4">
        <f>SimRevY1*(1+SimGrowth)^129</f>
        <v>10930156737.688221</v>
      </c>
      <c r="E131" s="4">
        <f>FacDevRevY1*(1+FacDevGrowth)^129</f>
        <v>5465078368.8441105</v>
      </c>
      <c r="F131" s="4">
        <f t="shared" si="8"/>
        <v>17369533721.39785</v>
      </c>
      <c r="G131" s="4">
        <f t="shared" si="9"/>
        <v>17525421499.776333</v>
      </c>
      <c r="H131" s="4">
        <f>SalaryFTECount*SalaryPerFTE*(1+SalaryGrowth)^129</f>
        <v>33076539.296957061</v>
      </c>
      <c r="I131" s="4">
        <f>SimOpsY1*(1+SimOpsGrowth)^129</f>
        <v>614873410.0122112</v>
      </c>
      <c r="J131" s="4">
        <f>TrainDevY1*(1+TrainDevGrowth)^129</f>
        <v>307436705.0061056</v>
      </c>
      <c r="K131" s="4">
        <f>AdminY1*(1+AdminGrowth)^129</f>
        <v>36769406.0682365</v>
      </c>
      <c r="L131" s="4">
        <f t="shared" si="10"/>
        <v>992156060.38351023</v>
      </c>
      <c r="M131" s="4">
        <f t="shared" si="11"/>
        <v>16533265439.392822</v>
      </c>
    </row>
    <row r="132" spans="1:13" x14ac:dyDescent="0.2">
      <c r="A132" s="3">
        <f>StartYear+130</f>
        <v>2155</v>
      </c>
      <c r="B132" s="4">
        <f>FacultyFTE*HoursPerWeek*WeeksPerYear*RatePerHour*(1+PracticeGrowth)^130</f>
        <v>163682167.29740739</v>
      </c>
      <c r="C132" s="4">
        <f>StudentsY1*(1+StudentGrowth)^130*CreditsPerStudent*TuitionPerCredit</f>
        <v>1023013545.6087961</v>
      </c>
      <c r="D132" s="4">
        <f>SimRevY1*(1+SimGrowth)^130</f>
        <v>12023172411.457043</v>
      </c>
      <c r="E132" s="4">
        <f>FacDevRevY1*(1+FacDevGrowth)^130</f>
        <v>6011586205.7285213</v>
      </c>
      <c r="F132" s="4">
        <f t="shared" si="8"/>
        <v>19057772162.794357</v>
      </c>
      <c r="G132" s="4">
        <f t="shared" si="9"/>
        <v>19221454330.091766</v>
      </c>
      <c r="H132" s="4">
        <f>SalaryFTECount*SalaryPerFTE*(1+SalaryGrowth)^130</f>
        <v>34399600.868835345</v>
      </c>
      <c r="I132" s="4">
        <f>SimOpsY1*(1+SimOpsGrowth)^130</f>
        <v>664063282.81318808</v>
      </c>
      <c r="J132" s="4">
        <f>TrainDevY1*(1+TrainDevGrowth)^130</f>
        <v>332031641.40659404</v>
      </c>
      <c r="K132" s="4">
        <f>AdminY1*(1+AdminGrowth)^130</f>
        <v>38975570.432330698</v>
      </c>
      <c r="L132" s="4">
        <f t="shared" si="10"/>
        <v>1069470095.5209482</v>
      </c>
      <c r="M132" s="4">
        <f t="shared" si="11"/>
        <v>18151984234.57082</v>
      </c>
    </row>
    <row r="133" spans="1:13" x14ac:dyDescent="0.2">
      <c r="A133" s="3">
        <f>StartYear+131</f>
        <v>2156</v>
      </c>
      <c r="B133" s="4">
        <f>FacultyFTE*HoursPerWeek*WeeksPerYear*RatePerHour*(1+PracticeGrowth)^131</f>
        <v>171866275.66227776</v>
      </c>
      <c r="C133" s="4">
        <f>StudentsY1*(1+StudentGrowth)^131*CreditsPerStudent*TuitionPerCredit</f>
        <v>1074164222.889236</v>
      </c>
      <c r="D133" s="4">
        <f>SimRevY1*(1+SimGrowth)^131</f>
        <v>13225489652.602751</v>
      </c>
      <c r="E133" s="4">
        <f>FacDevRevY1*(1+FacDevGrowth)^131</f>
        <v>6612744826.3013754</v>
      </c>
      <c r="F133" s="4">
        <f t="shared" si="8"/>
        <v>20912398701.793362</v>
      </c>
      <c r="G133" s="4">
        <f t="shared" si="9"/>
        <v>21084264977.455639</v>
      </c>
      <c r="H133" s="4">
        <f>SalaryFTECount*SalaryPerFTE*(1+SalaryGrowth)^131</f>
        <v>35775584.903588757</v>
      </c>
      <c r="I133" s="4">
        <f>SimOpsY1*(1+SimOpsGrowth)^131</f>
        <v>717188345.43824327</v>
      </c>
      <c r="J133" s="4">
        <f>TrainDevY1*(1+TrainDevGrowth)^131</f>
        <v>358594172.71912163</v>
      </c>
      <c r="K133" s="4">
        <f>AdminY1*(1+AdminGrowth)^131</f>
        <v>41314104.658270545</v>
      </c>
      <c r="L133" s="4">
        <f t="shared" si="10"/>
        <v>1152872207.7192242</v>
      </c>
      <c r="M133" s="4">
        <f t="shared" si="11"/>
        <v>19931392769.736416</v>
      </c>
    </row>
    <row r="134" spans="1:13" x14ac:dyDescent="0.2">
      <c r="A134" s="3">
        <f>StartYear+132</f>
        <v>2157</v>
      </c>
      <c r="B134" s="4">
        <f>FacultyFTE*HoursPerWeek*WeeksPerYear*RatePerHour*(1+PracticeGrowth)^132</f>
        <v>180459589.44539165</v>
      </c>
      <c r="C134" s="4">
        <f>StudentsY1*(1+StudentGrowth)^132*CreditsPerStudent*TuitionPerCredit</f>
        <v>1127872434.0336978</v>
      </c>
      <c r="D134" s="4">
        <f>SimRevY1*(1+SimGrowth)^132</f>
        <v>14548038617.863024</v>
      </c>
      <c r="E134" s="4">
        <f>FacDevRevY1*(1+FacDevGrowth)^132</f>
        <v>7274019308.9315119</v>
      </c>
      <c r="F134" s="4">
        <f t="shared" si="8"/>
        <v>22949930360.828232</v>
      </c>
      <c r="G134" s="4">
        <f t="shared" si="9"/>
        <v>23130389950.273624</v>
      </c>
      <c r="H134" s="4">
        <f>SalaryFTECount*SalaryPerFTE*(1+SalaryGrowth)^132</f>
        <v>37206608.299732313</v>
      </c>
      <c r="I134" s="4">
        <f>SimOpsY1*(1+SimOpsGrowth)^132</f>
        <v>774563413.07330275</v>
      </c>
      <c r="J134" s="4">
        <f>TrainDevY1*(1+TrainDevGrowth)^132</f>
        <v>387281706.53665137</v>
      </c>
      <c r="K134" s="4">
        <f>AdminY1*(1+AdminGrowth)^132</f>
        <v>43792950.937766775</v>
      </c>
      <c r="L134" s="4">
        <f t="shared" si="10"/>
        <v>1242844678.8474534</v>
      </c>
      <c r="M134" s="4">
        <f t="shared" si="11"/>
        <v>21887545271.42617</v>
      </c>
    </row>
    <row r="135" spans="1:13" x14ac:dyDescent="0.2">
      <c r="A135" s="3">
        <f>StartYear+133</f>
        <v>2158</v>
      </c>
      <c r="B135" s="4">
        <f>FacultyFTE*HoursPerWeek*WeeksPerYear*RatePerHour*(1+PracticeGrowth)^133</f>
        <v>189482568.91766125</v>
      </c>
      <c r="C135" s="4">
        <f>StudentsY1*(1+StudentGrowth)^133*CreditsPerStudent*TuitionPerCredit</f>
        <v>1184266055.7353828</v>
      </c>
      <c r="D135" s="4">
        <f>SimRevY1*(1+SimGrowth)^133</f>
        <v>16002842479.649328</v>
      </c>
      <c r="E135" s="4">
        <f>FacDevRevY1*(1+FacDevGrowth)^133</f>
        <v>8001421239.8246641</v>
      </c>
      <c r="F135" s="4">
        <f t="shared" si="8"/>
        <v>25188529775.209377</v>
      </c>
      <c r="G135" s="4">
        <f t="shared" si="9"/>
        <v>25378012344.127037</v>
      </c>
      <c r="H135" s="4">
        <f>SalaryFTECount*SalaryPerFTE*(1+SalaryGrowth)^133</f>
        <v>38694872.631721608</v>
      </c>
      <c r="I135" s="4">
        <f>SimOpsY1*(1+SimOpsGrowth)^133</f>
        <v>836528486.11916697</v>
      </c>
      <c r="J135" s="4">
        <f>TrainDevY1*(1+TrainDevGrowth)^133</f>
        <v>418264243.05958349</v>
      </c>
      <c r="K135" s="4">
        <f>AdminY1*(1+AdminGrowth)^133</f>
        <v>46420527.994032785</v>
      </c>
      <c r="L135" s="4">
        <f t="shared" si="10"/>
        <v>1339908129.8045049</v>
      </c>
      <c r="M135" s="4">
        <f t="shared" si="11"/>
        <v>24038104214.322533</v>
      </c>
    </row>
    <row r="136" spans="1:13" x14ac:dyDescent="0.2">
      <c r="A136" s="3">
        <f>StartYear+134</f>
        <v>2159</v>
      </c>
      <c r="B136" s="4">
        <f>FacultyFTE*HoursPerWeek*WeeksPerYear*RatePerHour*(1+PracticeGrowth)^134</f>
        <v>198956697.36354429</v>
      </c>
      <c r="C136" s="4">
        <f>StudentsY1*(1+StudentGrowth)^134*CreditsPerStudent*TuitionPerCredit</f>
        <v>1243479358.5221517</v>
      </c>
      <c r="D136" s="4">
        <f>SimRevY1*(1+SimGrowth)^134</f>
        <v>17603126727.614265</v>
      </c>
      <c r="E136" s="4">
        <f>FacDevRevY1*(1+FacDevGrowth)^134</f>
        <v>8801563363.8071327</v>
      </c>
      <c r="F136" s="4">
        <f t="shared" si="8"/>
        <v>27648169449.94355</v>
      </c>
      <c r="G136" s="4">
        <f t="shared" si="9"/>
        <v>27847126147.307095</v>
      </c>
      <c r="H136" s="4">
        <f>SalaryFTECount*SalaryPerFTE*(1+SalaryGrowth)^134</f>
        <v>40242667.536990471</v>
      </c>
      <c r="I136" s="4">
        <f>SimOpsY1*(1+SimOpsGrowth)^134</f>
        <v>903450765.00870049</v>
      </c>
      <c r="J136" s="4">
        <f>TrainDevY1*(1+TrainDevGrowth)^134</f>
        <v>451725382.50435024</v>
      </c>
      <c r="K136" s="4">
        <f>AdminY1*(1+AdminGrowth)^134</f>
        <v>49205759.673674755</v>
      </c>
      <c r="L136" s="4">
        <f t="shared" si="10"/>
        <v>1444624574.723716</v>
      </c>
      <c r="M136" s="4">
        <f t="shared" si="11"/>
        <v>26402501572.583378</v>
      </c>
    </row>
    <row r="137" spans="1:13" x14ac:dyDescent="0.2">
      <c r="A137" s="3">
        <f>StartYear+135</f>
        <v>2160</v>
      </c>
      <c r="B137" s="4">
        <f>FacultyFTE*HoursPerWeek*WeeksPerYear*RatePerHour*(1+PracticeGrowth)^135</f>
        <v>208904532.23172152</v>
      </c>
      <c r="C137" s="4">
        <f>StudentsY1*(1+StudentGrowth)^135*CreditsPerStudent*TuitionPerCredit</f>
        <v>1305653326.4482596</v>
      </c>
      <c r="D137" s="4">
        <f>SimRevY1*(1+SimGrowth)^135</f>
        <v>19363439400.375694</v>
      </c>
      <c r="E137" s="4">
        <f>FacDevRevY1*(1+FacDevGrowth)^135</f>
        <v>9681719700.1878471</v>
      </c>
      <c r="F137" s="4">
        <f t="shared" si="8"/>
        <v>30350812427.011803</v>
      </c>
      <c r="G137" s="4">
        <f t="shared" si="9"/>
        <v>30559716959.243523</v>
      </c>
      <c r="H137" s="4">
        <f>SalaryFTECount*SalaryPerFTE*(1+SalaryGrowth)^135</f>
        <v>41852374.238470085</v>
      </c>
      <c r="I137" s="4">
        <f>SimOpsY1*(1+SimOpsGrowth)^135</f>
        <v>975726826.2093966</v>
      </c>
      <c r="J137" s="4">
        <f>TrainDevY1*(1+TrainDevGrowth)^135</f>
        <v>487863413.1046983</v>
      </c>
      <c r="K137" s="4">
        <f>AdminY1*(1+AdminGrowth)^135</f>
        <v>52158105.254095241</v>
      </c>
      <c r="L137" s="4">
        <f t="shared" si="10"/>
        <v>1557600718.8066604</v>
      </c>
      <c r="M137" s="4">
        <f t="shared" si="11"/>
        <v>29002116240.436863</v>
      </c>
    </row>
    <row r="138" spans="1:13" x14ac:dyDescent="0.2">
      <c r="A138" s="3">
        <f>StartYear+136</f>
        <v>2161</v>
      </c>
      <c r="B138" s="4">
        <f>FacultyFTE*HoursPerWeek*WeeksPerYear*RatePerHour*(1+PracticeGrowth)^136</f>
        <v>219349758.84330758</v>
      </c>
      <c r="C138" s="4">
        <f>StudentsY1*(1+StudentGrowth)^136*CreditsPerStudent*TuitionPerCredit</f>
        <v>1370935992.7706723</v>
      </c>
      <c r="D138" s="4">
        <f>SimRevY1*(1+SimGrowth)^136</f>
        <v>21299783340.413261</v>
      </c>
      <c r="E138" s="4">
        <f>FacDevRevY1*(1+FacDevGrowth)^136</f>
        <v>10649891670.206631</v>
      </c>
      <c r="F138" s="4">
        <f t="shared" si="8"/>
        <v>33320611003.390564</v>
      </c>
      <c r="G138" s="4">
        <f t="shared" si="9"/>
        <v>33539960762.233871</v>
      </c>
      <c r="H138" s="4">
        <f>SalaryFTECount*SalaryPerFTE*(1+SalaryGrowth)^136</f>
        <v>43526469.2080089</v>
      </c>
      <c r="I138" s="4">
        <f>SimOpsY1*(1+SimOpsGrowth)^136</f>
        <v>1053784972.3061482</v>
      </c>
      <c r="J138" s="4">
        <f>TrainDevY1*(1+TrainDevGrowth)^136</f>
        <v>526892486.15307409</v>
      </c>
      <c r="K138" s="4">
        <f>AdminY1*(1+AdminGrowth)^136</f>
        <v>55287591.569340959</v>
      </c>
      <c r="L138" s="4">
        <f t="shared" si="10"/>
        <v>1679491519.236572</v>
      </c>
      <c r="M138" s="4">
        <f t="shared" si="11"/>
        <v>31860469242.997299</v>
      </c>
    </row>
    <row r="139" spans="1:13" x14ac:dyDescent="0.2">
      <c r="A139" s="3">
        <f>StartYear+137</f>
        <v>2162</v>
      </c>
      <c r="B139" s="4">
        <f>FacultyFTE*HoursPerWeek*WeeksPerYear*RatePerHour*(1+PracticeGrowth)^137</f>
        <v>230317246.78547296</v>
      </c>
      <c r="C139" s="4">
        <f>StudentsY1*(1+StudentGrowth)^137*CreditsPerStudent*TuitionPerCredit</f>
        <v>1439482792.4092064</v>
      </c>
      <c r="D139" s="4">
        <f>SimRevY1*(1+SimGrowth)^137</f>
        <v>23429761674.454586</v>
      </c>
      <c r="E139" s="4">
        <f>FacDevRevY1*(1+FacDevGrowth)^137</f>
        <v>11714880837.227293</v>
      </c>
      <c r="F139" s="4">
        <f t="shared" si="8"/>
        <v>36584125304.091087</v>
      </c>
      <c r="G139" s="4">
        <f t="shared" si="9"/>
        <v>36814442550.876564</v>
      </c>
      <c r="H139" s="4">
        <f>SalaryFTECount*SalaryPerFTE*(1+SalaryGrowth)^137</f>
        <v>45267527.97632926</v>
      </c>
      <c r="I139" s="4">
        <f>SimOpsY1*(1+SimOpsGrowth)^137</f>
        <v>1138087770.0906403</v>
      </c>
      <c r="J139" s="4">
        <f>TrainDevY1*(1+TrainDevGrowth)^137</f>
        <v>569043885.04532015</v>
      </c>
      <c r="K139" s="4">
        <f>AdminY1*(1+AdminGrowth)^137</f>
        <v>58604847.06350141</v>
      </c>
      <c r="L139" s="4">
        <f t="shared" si="10"/>
        <v>1811004030.1757913</v>
      </c>
      <c r="M139" s="4">
        <f t="shared" si="11"/>
        <v>35003438520.700775</v>
      </c>
    </row>
    <row r="140" spans="1:13" x14ac:dyDescent="0.2">
      <c r="A140" s="3">
        <f>StartYear+138</f>
        <v>2163</v>
      </c>
      <c r="B140" s="4">
        <f>FacultyFTE*HoursPerWeek*WeeksPerYear*RatePerHour*(1+PracticeGrowth)^138</f>
        <v>241833109.12474665</v>
      </c>
      <c r="C140" s="4">
        <f>StudentsY1*(1+StudentGrowth)^138*CreditsPerStudent*TuitionPerCredit</f>
        <v>1511456932.0296667</v>
      </c>
      <c r="D140" s="4">
        <f>SimRevY1*(1+SimGrowth)^138</f>
        <v>25772737841.900047</v>
      </c>
      <c r="E140" s="4">
        <f>FacDevRevY1*(1+FacDevGrowth)^138</f>
        <v>12886368920.950024</v>
      </c>
      <c r="F140" s="4">
        <f t="shared" si="8"/>
        <v>40170563694.879738</v>
      </c>
      <c r="G140" s="4">
        <f t="shared" si="9"/>
        <v>40412396804.004486</v>
      </c>
      <c r="H140" s="4">
        <f>SalaryFTECount*SalaryPerFTE*(1+SalaryGrowth)^138</f>
        <v>47078229.09538243</v>
      </c>
      <c r="I140" s="4">
        <f>SimOpsY1*(1+SimOpsGrowth)^138</f>
        <v>1229134791.6978915</v>
      </c>
      <c r="J140" s="4">
        <f>TrainDevY1*(1+TrainDevGrowth)^138</f>
        <v>614567395.84894574</v>
      </c>
      <c r="K140" s="4">
        <f>AdminY1*(1+AdminGrowth)^138</f>
        <v>62121137.887311503</v>
      </c>
      <c r="L140" s="4">
        <f t="shared" si="10"/>
        <v>1952901554.529531</v>
      </c>
      <c r="M140" s="4">
        <f t="shared" si="11"/>
        <v>38459495249.474953</v>
      </c>
    </row>
    <row r="141" spans="1:13" x14ac:dyDescent="0.2">
      <c r="A141" s="3">
        <f>StartYear+139</f>
        <v>2164</v>
      </c>
      <c r="B141" s="4">
        <f>FacultyFTE*HoursPerWeek*WeeksPerYear*RatePerHour*(1+PracticeGrowth)^139</f>
        <v>253924764.58098397</v>
      </c>
      <c r="C141" s="4">
        <f>StudentsY1*(1+StudentGrowth)^139*CreditsPerStudent*TuitionPerCredit</f>
        <v>1587029778.63115</v>
      </c>
      <c r="D141" s="4">
        <f>SimRevY1*(1+SimGrowth)^139</f>
        <v>28350011626.090057</v>
      </c>
      <c r="E141" s="4">
        <f>FacDevRevY1*(1+FacDevGrowth)^139</f>
        <v>14175005813.045029</v>
      </c>
      <c r="F141" s="4">
        <f t="shared" si="8"/>
        <v>44112047217.766235</v>
      </c>
      <c r="G141" s="4">
        <f t="shared" si="9"/>
        <v>44365971982.347221</v>
      </c>
      <c r="H141" s="4">
        <f>SalaryFTECount*SalaryPerFTE*(1+SalaryGrowth)^139</f>
        <v>48961358.259197727</v>
      </c>
      <c r="I141" s="4">
        <f>SimOpsY1*(1+SimOpsGrowth)^139</f>
        <v>1327465575.0337229</v>
      </c>
      <c r="J141" s="4">
        <f>TrainDevY1*(1+TrainDevGrowth)^139</f>
        <v>663732787.51686144</v>
      </c>
      <c r="K141" s="4">
        <f>AdminY1*(1+AdminGrowth)^139</f>
        <v>65848406.160550199</v>
      </c>
      <c r="L141" s="4">
        <f t="shared" si="10"/>
        <v>2106008126.9703321</v>
      </c>
      <c r="M141" s="4">
        <f t="shared" si="11"/>
        <v>42259963855.376892</v>
      </c>
    </row>
    <row r="142" spans="1:13" x14ac:dyDescent="0.2">
      <c r="A142" s="3">
        <f>StartYear+140</f>
        <v>2165</v>
      </c>
      <c r="B142" s="4">
        <f>FacultyFTE*HoursPerWeek*WeeksPerYear*RatePerHour*(1+PracticeGrowth)^140</f>
        <v>266621002.81003314</v>
      </c>
      <c r="C142" s="4">
        <f>StudentsY1*(1+StudentGrowth)^140*CreditsPerStudent*TuitionPerCredit</f>
        <v>1666381267.5627069</v>
      </c>
      <c r="D142" s="4">
        <f>SimRevY1*(1+SimGrowth)^140</f>
        <v>31185012788.699062</v>
      </c>
      <c r="E142" s="4">
        <f>FacDevRevY1*(1+FacDevGrowth)^140</f>
        <v>15592506394.349531</v>
      </c>
      <c r="F142" s="4">
        <f t="shared" si="8"/>
        <v>48443900450.611298</v>
      </c>
      <c r="G142" s="4">
        <f t="shared" si="9"/>
        <v>48710521453.421333</v>
      </c>
      <c r="H142" s="4">
        <f>SalaryFTECount*SalaryPerFTE*(1+SalaryGrowth)^140</f>
        <v>50919812.589565642</v>
      </c>
      <c r="I142" s="4">
        <f>SimOpsY1*(1+SimOpsGrowth)^140</f>
        <v>1433662821.0364206</v>
      </c>
      <c r="J142" s="4">
        <f>TrainDevY1*(1+TrainDevGrowth)^140</f>
        <v>716831410.51821029</v>
      </c>
      <c r="K142" s="4">
        <f>AdminY1*(1+AdminGrowth)^140</f>
        <v>69799310.530183226</v>
      </c>
      <c r="L142" s="4">
        <f t="shared" si="10"/>
        <v>2271213354.6743798</v>
      </c>
      <c r="M142" s="4">
        <f t="shared" si="11"/>
        <v>46439308098.746956</v>
      </c>
    </row>
    <row r="143" spans="1:13" x14ac:dyDescent="0.2">
      <c r="A143" s="3">
        <f>StartYear+141</f>
        <v>2166</v>
      </c>
      <c r="B143" s="4">
        <f>FacultyFTE*HoursPerWeek*WeeksPerYear*RatePerHour*(1+PracticeGrowth)^141</f>
        <v>279952052.95053482</v>
      </c>
      <c r="C143" s="4">
        <f>StudentsY1*(1+StudentGrowth)^141*CreditsPerStudent*TuitionPerCredit</f>
        <v>1749700330.9408426</v>
      </c>
      <c r="D143" s="4">
        <f>SimRevY1*(1+SimGrowth)^141</f>
        <v>34303514067.568966</v>
      </c>
      <c r="E143" s="4">
        <f>FacDevRevY1*(1+FacDevGrowth)^141</f>
        <v>17151757033.784483</v>
      </c>
      <c r="F143" s="4">
        <f t="shared" si="8"/>
        <v>53204971432.294296</v>
      </c>
      <c r="G143" s="4">
        <f t="shared" si="9"/>
        <v>53484923485.244827</v>
      </c>
      <c r="H143" s="4">
        <f>SalaryFTECount*SalaryPerFTE*(1+SalaryGrowth)^141</f>
        <v>52956605.093148269</v>
      </c>
      <c r="I143" s="4">
        <f>SimOpsY1*(1+SimOpsGrowth)^141</f>
        <v>1548355846.7193344</v>
      </c>
      <c r="J143" s="4">
        <f>TrainDevY1*(1+TrainDevGrowth)^141</f>
        <v>774177923.35966718</v>
      </c>
      <c r="K143" s="4">
        <f>AdminY1*(1+AdminGrowth)^141</f>
        <v>73987269.161994219</v>
      </c>
      <c r="L143" s="4">
        <f t="shared" si="10"/>
        <v>2449477644.3341436</v>
      </c>
      <c r="M143" s="4">
        <f t="shared" si="11"/>
        <v>51035445840.910683</v>
      </c>
    </row>
    <row r="144" spans="1:13" x14ac:dyDescent="0.2">
      <c r="A144" s="3">
        <f>StartYear+142</f>
        <v>2167</v>
      </c>
      <c r="B144" s="4">
        <f>FacultyFTE*HoursPerWeek*WeeksPerYear*RatePerHour*(1+PracticeGrowth)^142</f>
        <v>293949655.5980615</v>
      </c>
      <c r="C144" s="4">
        <f>StudentsY1*(1+StudentGrowth)^142*CreditsPerStudent*TuitionPerCredit</f>
        <v>1837185347.4878845</v>
      </c>
      <c r="D144" s="4">
        <f>SimRevY1*(1+SimGrowth)^142</f>
        <v>37733865474.325874</v>
      </c>
      <c r="E144" s="4">
        <f>FacDevRevY1*(1+FacDevGrowth)^142</f>
        <v>18866932737.162937</v>
      </c>
      <c r="F144" s="4">
        <f t="shared" si="8"/>
        <v>58437983558.9767</v>
      </c>
      <c r="G144" s="4">
        <f t="shared" si="9"/>
        <v>58731933214.57476</v>
      </c>
      <c r="H144" s="4">
        <f>SalaryFTECount*SalaryPerFTE*(1+SalaryGrowth)^142</f>
        <v>55074869.296874203</v>
      </c>
      <c r="I144" s="4">
        <f>SimOpsY1*(1+SimOpsGrowth)^142</f>
        <v>1672224314.4568815</v>
      </c>
      <c r="J144" s="4">
        <f>TrainDevY1*(1+TrainDevGrowth)^142</f>
        <v>836112157.22844076</v>
      </c>
      <c r="K144" s="4">
        <f>AdminY1*(1+AdminGrowth)^142</f>
        <v>78426505.311713874</v>
      </c>
      <c r="L144" s="4">
        <f t="shared" si="10"/>
        <v>2641837846.2939105</v>
      </c>
      <c r="M144" s="4">
        <f t="shared" si="11"/>
        <v>56090095368.280853</v>
      </c>
    </row>
    <row r="145" spans="1:13" x14ac:dyDescent="0.2">
      <c r="A145" s="3">
        <f>StartYear+143</f>
        <v>2168</v>
      </c>
      <c r="B145" s="4">
        <f>FacultyFTE*HoursPerWeek*WeeksPerYear*RatePerHour*(1+PracticeGrowth)^143</f>
        <v>308647138.37796474</v>
      </c>
      <c r="C145" s="4">
        <f>StudentsY1*(1+StudentGrowth)^143*CreditsPerStudent*TuitionPerCredit</f>
        <v>1929044614.8622794</v>
      </c>
      <c r="D145" s="4">
        <f>SimRevY1*(1+SimGrowth)^143</f>
        <v>41507252021.758461</v>
      </c>
      <c r="E145" s="4">
        <f>FacDevRevY1*(1+FacDevGrowth)^143</f>
        <v>20753626010.87923</v>
      </c>
      <c r="F145" s="4">
        <f t="shared" si="8"/>
        <v>64189922647.499969</v>
      </c>
      <c r="G145" s="4">
        <f t="shared" si="9"/>
        <v>64498569785.877937</v>
      </c>
      <c r="H145" s="4">
        <f>SalaryFTECount*SalaryPerFTE*(1+SalaryGrowth)^143</f>
        <v>57277864.068749167</v>
      </c>
      <c r="I145" s="4">
        <f>SimOpsY1*(1+SimOpsGrowth)^143</f>
        <v>1806002259.6134322</v>
      </c>
      <c r="J145" s="4">
        <f>TrainDevY1*(1+TrainDevGrowth)^143</f>
        <v>903001129.80671608</v>
      </c>
      <c r="K145" s="4">
        <f>AdminY1*(1+AdminGrowth)^143</f>
        <v>83132095.630416736</v>
      </c>
      <c r="L145" s="4">
        <f t="shared" si="10"/>
        <v>2849413349.1193142</v>
      </c>
      <c r="M145" s="4">
        <f t="shared" si="11"/>
        <v>61649156436.758621</v>
      </c>
    </row>
    <row r="146" spans="1:13" x14ac:dyDescent="0.2">
      <c r="A146" s="3">
        <f>StartYear+144</f>
        <v>2169</v>
      </c>
      <c r="B146" s="4">
        <f>FacultyFTE*HoursPerWeek*WeeksPerYear*RatePerHour*(1+PracticeGrowth)^144</f>
        <v>324079495.2968629</v>
      </c>
      <c r="C146" s="4">
        <f>StudentsY1*(1+StudentGrowth)^144*CreditsPerStudent*TuitionPerCredit</f>
        <v>2025496845.6053932</v>
      </c>
      <c r="D146" s="4">
        <f>SimRevY1*(1+SimGrowth)^144</f>
        <v>45657977223.934311</v>
      </c>
      <c r="E146" s="4">
        <f>FacDevRevY1*(1+FacDevGrowth)^144</f>
        <v>22828988611.967155</v>
      </c>
      <c r="F146" s="4">
        <f t="shared" si="8"/>
        <v>70512462681.506866</v>
      </c>
      <c r="G146" s="4">
        <f t="shared" si="9"/>
        <v>70836542176.803726</v>
      </c>
      <c r="H146" s="4">
        <f>SalaryFTECount*SalaryPerFTE*(1+SalaryGrowth)^144</f>
        <v>59568978.631499141</v>
      </c>
      <c r="I146" s="4">
        <f>SimOpsY1*(1+SimOpsGrowth)^144</f>
        <v>1950482440.3825066</v>
      </c>
      <c r="J146" s="4">
        <f>TrainDevY1*(1+TrainDevGrowth)^144</f>
        <v>975241220.1912533</v>
      </c>
      <c r="K146" s="4">
        <f>AdminY1*(1+AdminGrowth)^144</f>
        <v>88120021.368241712</v>
      </c>
      <c r="L146" s="4">
        <f t="shared" si="10"/>
        <v>3073412660.5735006</v>
      </c>
      <c r="M146" s="4">
        <f t="shared" si="11"/>
        <v>67763129516.230225</v>
      </c>
    </row>
    <row r="147" spans="1:13" x14ac:dyDescent="0.2">
      <c r="A147" s="3">
        <f>StartYear+145</f>
        <v>2170</v>
      </c>
      <c r="B147" s="4">
        <f>FacultyFTE*HoursPerWeek*WeeksPerYear*RatePerHour*(1+PracticeGrowth)^145</f>
        <v>340283470.06170607</v>
      </c>
      <c r="C147" s="4">
        <f>StudentsY1*(1+StudentGrowth)^145*CreditsPerStudent*TuitionPerCredit</f>
        <v>2126771687.8856633</v>
      </c>
      <c r="D147" s="4">
        <f>SimRevY1*(1+SimGrowth)^145</f>
        <v>50223774946.327744</v>
      </c>
      <c r="E147" s="4">
        <f>FacDevRevY1*(1+FacDevGrowth)^145</f>
        <v>25111887473.163872</v>
      </c>
      <c r="F147" s="4">
        <f t="shared" si="8"/>
        <v>77462434107.377289</v>
      </c>
      <c r="G147" s="4">
        <f t="shared" si="9"/>
        <v>77802717577.438995</v>
      </c>
      <c r="H147" s="4">
        <f>SalaryFTECount*SalaryPerFTE*(1+SalaryGrowth)^145</f>
        <v>61951737.77675911</v>
      </c>
      <c r="I147" s="4">
        <f>SimOpsY1*(1+SimOpsGrowth)^145</f>
        <v>2106521035.6131072</v>
      </c>
      <c r="J147" s="4">
        <f>TrainDevY1*(1+TrainDevGrowth)^145</f>
        <v>1053260517.8065536</v>
      </c>
      <c r="K147" s="4">
        <f>AdminY1*(1+AdminGrowth)^145</f>
        <v>93407222.650336221</v>
      </c>
      <c r="L147" s="4">
        <f t="shared" si="10"/>
        <v>3315140513.846756</v>
      </c>
      <c r="M147" s="4">
        <f t="shared" si="11"/>
        <v>74487577063.592239</v>
      </c>
    </row>
    <row r="148" spans="1:13" x14ac:dyDescent="0.2">
      <c r="A148" s="3">
        <f>StartYear+146</f>
        <v>2171</v>
      </c>
      <c r="B148" s="4">
        <f>FacultyFTE*HoursPerWeek*WeeksPerYear*RatePerHour*(1+PracticeGrowth)^146</f>
        <v>357297643.56479138</v>
      </c>
      <c r="C148" s="4">
        <f>StudentsY1*(1+StudentGrowth)^146*CreditsPerStudent*TuitionPerCredit</f>
        <v>2233110272.2799459</v>
      </c>
      <c r="D148" s="4">
        <f>SimRevY1*(1+SimGrowth)^146</f>
        <v>55246152440.960518</v>
      </c>
      <c r="E148" s="4">
        <f>FacDevRevY1*(1+FacDevGrowth)^146</f>
        <v>27623076220.480259</v>
      </c>
      <c r="F148" s="4">
        <f t="shared" si="8"/>
        <v>85102338933.720718</v>
      </c>
      <c r="G148" s="4">
        <f t="shared" si="9"/>
        <v>85459636577.285507</v>
      </c>
      <c r="H148" s="4">
        <f>SalaryFTECount*SalaryPerFTE*(1+SalaryGrowth)^146</f>
        <v>64429807.287829481</v>
      </c>
      <c r="I148" s="4">
        <f>SimOpsY1*(1+SimOpsGrowth)^146</f>
        <v>2275042718.4621558</v>
      </c>
      <c r="J148" s="4">
        <f>TrainDevY1*(1+TrainDevGrowth)^146</f>
        <v>1137521359.2310779</v>
      </c>
      <c r="K148" s="4">
        <f>AdminY1*(1+AdminGrowth)^146</f>
        <v>99011656.009356394</v>
      </c>
      <c r="L148" s="4">
        <f t="shared" si="10"/>
        <v>3576005540.9904194</v>
      </c>
      <c r="M148" s="4">
        <f t="shared" si="11"/>
        <v>81883631036.29509</v>
      </c>
    </row>
    <row r="149" spans="1:13" x14ac:dyDescent="0.2">
      <c r="A149" s="3">
        <f>StartYear+147</f>
        <v>2172</v>
      </c>
      <c r="B149" s="4">
        <f>FacultyFTE*HoursPerWeek*WeeksPerYear*RatePerHour*(1+PracticeGrowth)^147</f>
        <v>375162525.74303097</v>
      </c>
      <c r="C149" s="4">
        <f>StudentsY1*(1+StudentGrowth)^147*CreditsPerStudent*TuitionPerCredit</f>
        <v>2344765785.8939433</v>
      </c>
      <c r="D149" s="4">
        <f>SimRevY1*(1+SimGrowth)^147</f>
        <v>60770767685.05658</v>
      </c>
      <c r="E149" s="4">
        <f>FacDevRevY1*(1+FacDevGrowth)^147</f>
        <v>30385383842.52829</v>
      </c>
      <c r="F149" s="4">
        <f t="shared" si="8"/>
        <v>93500917313.478821</v>
      </c>
      <c r="G149" s="4">
        <f t="shared" si="9"/>
        <v>93876079839.221848</v>
      </c>
      <c r="H149" s="4">
        <f>SalaryFTECount*SalaryPerFTE*(1+SalaryGrowth)^147</f>
        <v>67006999.579342663</v>
      </c>
      <c r="I149" s="4">
        <f>SimOpsY1*(1+SimOpsGrowth)^147</f>
        <v>2457046135.9391284</v>
      </c>
      <c r="J149" s="4">
        <f>TrainDevY1*(1+TrainDevGrowth)^147</f>
        <v>1228523067.9695642</v>
      </c>
      <c r="K149" s="4">
        <f>AdminY1*(1+AdminGrowth)^147</f>
        <v>104952355.36991778</v>
      </c>
      <c r="L149" s="4">
        <f t="shared" si="10"/>
        <v>3857528558.8579531</v>
      </c>
      <c r="M149" s="4">
        <f t="shared" si="11"/>
        <v>90018551280.363892</v>
      </c>
    </row>
    <row r="150" spans="1:13" x14ac:dyDescent="0.2">
      <c r="A150" s="3">
        <f>StartYear+148</f>
        <v>2173</v>
      </c>
      <c r="B150" s="4">
        <f>FacultyFTE*HoursPerWeek*WeeksPerYear*RatePerHour*(1+PracticeGrowth)^148</f>
        <v>393920652.03018248</v>
      </c>
      <c r="C150" s="4">
        <f>StudentsY1*(1+StudentGrowth)^148*CreditsPerStudent*TuitionPerCredit</f>
        <v>2462004075.1886411</v>
      </c>
      <c r="D150" s="4">
        <f>SimRevY1*(1+SimGrowth)^148</f>
        <v>66847844453.562241</v>
      </c>
      <c r="E150" s="4">
        <f>FacDevRevY1*(1+FacDevGrowth)^148</f>
        <v>33423922226.78112</v>
      </c>
      <c r="F150" s="4">
        <f t="shared" si="8"/>
        <v>102733770755.53201</v>
      </c>
      <c r="G150" s="4">
        <f t="shared" si="9"/>
        <v>103127691407.56219</v>
      </c>
      <c r="H150" s="4">
        <f>SalaryFTECount*SalaryPerFTE*(1+SalaryGrowth)^148</f>
        <v>69687279.562516361</v>
      </c>
      <c r="I150" s="4">
        <f>SimOpsY1*(1+SimOpsGrowth)^148</f>
        <v>2653609826.8142591</v>
      </c>
      <c r="J150" s="4">
        <f>TrainDevY1*(1+TrainDevGrowth)^148</f>
        <v>1326804913.4071295</v>
      </c>
      <c r="K150" s="4">
        <f>AdminY1*(1+AdminGrowth)^148</f>
        <v>111249496.69211286</v>
      </c>
      <c r="L150" s="4">
        <f t="shared" si="10"/>
        <v>4161351516.476018</v>
      </c>
      <c r="M150" s="4">
        <f t="shared" si="11"/>
        <v>98966339891.086182</v>
      </c>
    </row>
    <row r="151" spans="1:13" x14ac:dyDescent="0.2">
      <c r="A151" s="3">
        <f>StartYear+149</f>
        <v>2174</v>
      </c>
      <c r="B151" s="4">
        <f>FacultyFTE*HoursPerWeek*WeeksPerYear*RatePerHour*(1+PracticeGrowth)^149</f>
        <v>413616684.63169163</v>
      </c>
      <c r="C151" s="4">
        <f>StudentsY1*(1+StudentGrowth)^149*CreditsPerStudent*TuitionPerCredit</f>
        <v>2585104278.9480724</v>
      </c>
      <c r="D151" s="4">
        <f>SimRevY1*(1+SimGrowth)^149</f>
        <v>73532628898.918472</v>
      </c>
      <c r="E151" s="4">
        <f>FacDevRevY1*(1+FacDevGrowth)^149</f>
        <v>36766314449.459236</v>
      </c>
      <c r="F151" s="4">
        <f t="shared" si="8"/>
        <v>112884047627.32578</v>
      </c>
      <c r="G151" s="4">
        <f t="shared" si="9"/>
        <v>113297664311.95747</v>
      </c>
      <c r="H151" s="4">
        <f>SalaryFTECount*SalaryPerFTE*(1+SalaryGrowth)^149</f>
        <v>72474770.745017037</v>
      </c>
      <c r="I151" s="4">
        <f>SimOpsY1*(1+SimOpsGrowth)^149</f>
        <v>2865898612.9593997</v>
      </c>
      <c r="J151" s="4">
        <f>TrainDevY1*(1+TrainDevGrowth)^149</f>
        <v>1432949306.4796999</v>
      </c>
      <c r="K151" s="4">
        <f>AdminY1*(1+AdminGrowth)^149</f>
        <v>117924466.49363965</v>
      </c>
      <c r="L151" s="4">
        <f t="shared" si="10"/>
        <v>4489247156.6777563</v>
      </c>
      <c r="M151" s="4">
        <f t="shared" si="11"/>
        <v>108808417155.27972</v>
      </c>
    </row>
    <row r="152" spans="1:13" x14ac:dyDescent="0.2">
      <c r="A152" s="3">
        <f>StartYear+150</f>
        <v>2175</v>
      </c>
      <c r="B152" s="4">
        <f>FacultyFTE*HoursPerWeek*WeeksPerYear*RatePerHour*(1+PracticeGrowth)^150</f>
        <v>434297518.86327612</v>
      </c>
      <c r="C152" s="4">
        <f>StudentsY1*(1+StudentGrowth)^150*CreditsPerStudent*TuitionPerCredit</f>
        <v>2714359492.8954759</v>
      </c>
      <c r="D152" s="4">
        <f>SimRevY1*(1+SimGrowth)^150</f>
        <v>80885891788.810333</v>
      </c>
      <c r="E152" s="4">
        <f>FacDevRevY1*(1+FacDevGrowth)^150</f>
        <v>40442945894.405167</v>
      </c>
      <c r="F152" s="4">
        <f t="shared" si="8"/>
        <v>124043197176.11098</v>
      </c>
      <c r="G152" s="4">
        <f t="shared" si="9"/>
        <v>124477494694.97426</v>
      </c>
      <c r="H152" s="4">
        <f>SalaryFTECount*SalaryPerFTE*(1+SalaryGrowth)^150</f>
        <v>75373761.574817717</v>
      </c>
      <c r="I152" s="4">
        <f>SimOpsY1*(1+SimOpsGrowth)^150</f>
        <v>3095170501.9961519</v>
      </c>
      <c r="J152" s="4">
        <f>TrainDevY1*(1+TrainDevGrowth)^150</f>
        <v>1547585250.998076</v>
      </c>
      <c r="K152" s="4">
        <f>AdminY1*(1+AdminGrowth)^150</f>
        <v>124999934.48325804</v>
      </c>
      <c r="L152" s="4">
        <f t="shared" si="10"/>
        <v>4843129449.0523043</v>
      </c>
      <c r="M152" s="4">
        <f t="shared" si="11"/>
        <v>119634365245.92195</v>
      </c>
    </row>
    <row r="153" spans="1:13" x14ac:dyDescent="0.2">
      <c r="A153" s="3">
        <f>StartYear+151</f>
        <v>2176</v>
      </c>
      <c r="B153" s="4">
        <f>FacultyFTE*HoursPerWeek*WeeksPerYear*RatePerHour*(1+PracticeGrowth)^151</f>
        <v>456012394.80644006</v>
      </c>
      <c r="C153" s="4">
        <f>StudentsY1*(1+StudentGrowth)^151*CreditsPerStudent*TuitionPerCredit</f>
        <v>2850077467.5402503</v>
      </c>
      <c r="D153" s="4">
        <f>SimRevY1*(1+SimGrowth)^151</f>
        <v>88974480967.69136</v>
      </c>
      <c r="E153" s="4">
        <f>FacDevRevY1*(1+FacDevGrowth)^151</f>
        <v>44487240483.84568</v>
      </c>
      <c r="F153" s="4">
        <f t="shared" si="8"/>
        <v>136311798919.0773</v>
      </c>
      <c r="G153" s="4">
        <f t="shared" si="9"/>
        <v>136767811313.88374</v>
      </c>
      <c r="H153" s="4">
        <f>SalaryFTECount*SalaryPerFTE*(1+SalaryGrowth)^151</f>
        <v>78388712.037810415</v>
      </c>
      <c r="I153" s="4">
        <f>SimOpsY1*(1+SimOpsGrowth)^151</f>
        <v>3342784142.1558447</v>
      </c>
      <c r="J153" s="4">
        <f>TrainDevY1*(1+TrainDevGrowth)^151</f>
        <v>1671392071.0779223</v>
      </c>
      <c r="K153" s="4">
        <f>AdminY1*(1+AdminGrowth)^151</f>
        <v>132499930.55225353</v>
      </c>
      <c r="L153" s="4">
        <f t="shared" si="10"/>
        <v>5225064855.8238316</v>
      </c>
      <c r="M153" s="4">
        <f t="shared" si="11"/>
        <v>131542746458.05991</v>
      </c>
    </row>
    <row r="154" spans="1:13" x14ac:dyDescent="0.2">
      <c r="A154" s="3">
        <f>StartYear+152</f>
        <v>2177</v>
      </c>
      <c r="B154" s="4">
        <f>FacultyFTE*HoursPerWeek*WeeksPerYear*RatePerHour*(1+PracticeGrowth)^152</f>
        <v>478813014.54676199</v>
      </c>
      <c r="C154" s="4">
        <f>StudentsY1*(1+StudentGrowth)^152*CreditsPerStudent*TuitionPerCredit</f>
        <v>2992581340.9172621</v>
      </c>
      <c r="D154" s="4">
        <f>SimRevY1*(1+SimGrowth)^152</f>
        <v>97871929064.460495</v>
      </c>
      <c r="E154" s="4">
        <f>FacDevRevY1*(1+FacDevGrowth)^152</f>
        <v>48935964532.230247</v>
      </c>
      <c r="F154" s="4">
        <f t="shared" si="8"/>
        <v>149800474937.608</v>
      </c>
      <c r="G154" s="4">
        <f t="shared" si="9"/>
        <v>150279287952.15475</v>
      </c>
      <c r="H154" s="4">
        <f>SalaryFTECount*SalaryPerFTE*(1+SalaryGrowth)^152</f>
        <v>81524260.519322842</v>
      </c>
      <c r="I154" s="4">
        <f>SimOpsY1*(1+SimOpsGrowth)^152</f>
        <v>3610206873.5283117</v>
      </c>
      <c r="J154" s="4">
        <f>TrainDevY1*(1+TrainDevGrowth)^152</f>
        <v>1805103436.7641559</v>
      </c>
      <c r="K154" s="4">
        <f>AdminY1*(1+AdminGrowth)^152</f>
        <v>140449926.38538873</v>
      </c>
      <c r="L154" s="4">
        <f t="shared" si="10"/>
        <v>5637284497.1971788</v>
      </c>
      <c r="M154" s="4">
        <f t="shared" si="11"/>
        <v>144642003454.95758</v>
      </c>
    </row>
    <row r="155" spans="1:13" x14ac:dyDescent="0.2">
      <c r="A155" s="3">
        <f>StartYear+153</f>
        <v>2178</v>
      </c>
      <c r="B155" s="4">
        <f>FacultyFTE*HoursPerWeek*WeeksPerYear*RatePerHour*(1+PracticeGrowth)^153</f>
        <v>502753665.27410007</v>
      </c>
      <c r="C155" s="4">
        <f>StudentsY1*(1+StudentGrowth)^153*CreditsPerStudent*TuitionPerCredit</f>
        <v>3142210407.9631257</v>
      </c>
      <c r="D155" s="4">
        <f>SimRevY1*(1+SimGrowth)^153</f>
        <v>107659121970.90656</v>
      </c>
      <c r="E155" s="4">
        <f>FacDevRevY1*(1+FacDevGrowth)^153</f>
        <v>53829560985.453278</v>
      </c>
      <c r="F155" s="4">
        <f t="shared" si="8"/>
        <v>164630893364.32294</v>
      </c>
      <c r="G155" s="4">
        <f t="shared" si="9"/>
        <v>165133647029.59705</v>
      </c>
      <c r="H155" s="4">
        <f>SalaryFTECount*SalaryPerFTE*(1+SalaryGrowth)^153</f>
        <v>84785230.940095767</v>
      </c>
      <c r="I155" s="4">
        <f>SimOpsY1*(1+SimOpsGrowth)^153</f>
        <v>3899023423.4105773</v>
      </c>
      <c r="J155" s="4">
        <f>TrainDevY1*(1+TrainDevGrowth)^153</f>
        <v>1949511711.7052886</v>
      </c>
      <c r="K155" s="4">
        <f>AdminY1*(1+AdminGrowth)^153</f>
        <v>148876921.96851206</v>
      </c>
      <c r="L155" s="4">
        <f t="shared" si="10"/>
        <v>6082197288.0244732</v>
      </c>
      <c r="M155" s="4">
        <f t="shared" si="11"/>
        <v>159051449741.57257</v>
      </c>
    </row>
    <row r="156" spans="1:13" x14ac:dyDescent="0.2">
      <c r="A156" s="3">
        <f>StartYear+154</f>
        <v>2179</v>
      </c>
      <c r="B156" s="4">
        <f>FacultyFTE*HoursPerWeek*WeeksPerYear*RatePerHour*(1+PracticeGrowth)^154</f>
        <v>527891348.53780508</v>
      </c>
      <c r="C156" s="4">
        <f>StudentsY1*(1+StudentGrowth)^154*CreditsPerStudent*TuitionPerCredit</f>
        <v>3299320928.3612823</v>
      </c>
      <c r="D156" s="4">
        <f>SimRevY1*(1+SimGrowth)^154</f>
        <v>118425034167.99721</v>
      </c>
      <c r="E156" s="4">
        <f>FacDevRevY1*(1+FacDevGrowth)^154</f>
        <v>59212517083.998604</v>
      </c>
      <c r="F156" s="4">
        <f t="shared" si="8"/>
        <v>180936872180.35709</v>
      </c>
      <c r="G156" s="4">
        <f t="shared" si="9"/>
        <v>181464763528.8949</v>
      </c>
      <c r="H156" s="4">
        <f>SalaryFTECount*SalaryPerFTE*(1+SalaryGrowth)^154</f>
        <v>88176640.177699596</v>
      </c>
      <c r="I156" s="4">
        <f>SimOpsY1*(1+SimOpsGrowth)^154</f>
        <v>4210945297.2834229</v>
      </c>
      <c r="J156" s="4">
        <f>TrainDevY1*(1+TrainDevGrowth)^154</f>
        <v>2105472648.6417115</v>
      </c>
      <c r="K156" s="4">
        <f>AdminY1*(1+AdminGrowth)^154</f>
        <v>157809537.28662279</v>
      </c>
      <c r="L156" s="4">
        <f t="shared" si="10"/>
        <v>6562404123.3894567</v>
      </c>
      <c r="M156" s="4">
        <f t="shared" si="11"/>
        <v>174902359405.50543</v>
      </c>
    </row>
    <row r="157" spans="1:13" x14ac:dyDescent="0.2">
      <c r="A157" s="3">
        <f>StartYear+155</f>
        <v>2180</v>
      </c>
      <c r="B157" s="4">
        <f>FacultyFTE*HoursPerWeek*WeeksPerYear*RatePerHour*(1+PracticeGrowth)^155</f>
        <v>554285915.96469545</v>
      </c>
      <c r="C157" s="4">
        <f>StudentsY1*(1+StudentGrowth)^155*CreditsPerStudent*TuitionPerCredit</f>
        <v>3464286974.7793465</v>
      </c>
      <c r="D157" s="4">
        <f>SimRevY1*(1+SimGrowth)^155</f>
        <v>130267537584.79697</v>
      </c>
      <c r="E157" s="4">
        <f>FacDevRevY1*(1+FacDevGrowth)^155</f>
        <v>65133768792.398483</v>
      </c>
      <c r="F157" s="4">
        <f t="shared" si="8"/>
        <v>198865593351.97479</v>
      </c>
      <c r="G157" s="4">
        <f t="shared" si="9"/>
        <v>199419879267.93948</v>
      </c>
      <c r="H157" s="4">
        <f>SalaryFTECount*SalaryPerFTE*(1+SalaryGrowth)^155</f>
        <v>91703705.784807578</v>
      </c>
      <c r="I157" s="4">
        <f>SimOpsY1*(1+SimOpsGrowth)^155</f>
        <v>4547820921.0660973</v>
      </c>
      <c r="J157" s="4">
        <f>TrainDevY1*(1+TrainDevGrowth)^155</f>
        <v>2273910460.5330486</v>
      </c>
      <c r="K157" s="4">
        <f>AdminY1*(1+AdminGrowth)^155</f>
        <v>167278109.52382016</v>
      </c>
      <c r="L157" s="4">
        <f t="shared" si="10"/>
        <v>7080713196.907773</v>
      </c>
      <c r="M157" s="4">
        <f t="shared" si="11"/>
        <v>192339166071.03171</v>
      </c>
    </row>
    <row r="158" spans="1:13" x14ac:dyDescent="0.2">
      <c r="A158" s="3">
        <f>StartYear+156</f>
        <v>2181</v>
      </c>
      <c r="B158" s="4">
        <f>FacultyFTE*HoursPerWeek*WeeksPerYear*RatePerHour*(1+PracticeGrowth)^156</f>
        <v>582000211.76293015</v>
      </c>
      <c r="C158" s="4">
        <f>StudentsY1*(1+StudentGrowth)^156*CreditsPerStudent*TuitionPerCredit</f>
        <v>3637501323.5183134</v>
      </c>
      <c r="D158" s="4">
        <f>SimRevY1*(1+SimGrowth)^156</f>
        <v>143294291343.27667</v>
      </c>
      <c r="E158" s="4">
        <f>FacDevRevY1*(1+FacDevGrowth)^156</f>
        <v>71647145671.638336</v>
      </c>
      <c r="F158" s="4">
        <f t="shared" si="8"/>
        <v>218578938338.43332</v>
      </c>
      <c r="G158" s="4">
        <f t="shared" si="9"/>
        <v>219160938550.19626</v>
      </c>
      <c r="H158" s="4">
        <f>SalaryFTECount*SalaryPerFTE*(1+SalaryGrowth)^156</f>
        <v>95371854.016199902</v>
      </c>
      <c r="I158" s="4">
        <f>SimOpsY1*(1+SimOpsGrowth)^156</f>
        <v>4911646594.7513857</v>
      </c>
      <c r="J158" s="4">
        <f>TrainDevY1*(1+TrainDevGrowth)^156</f>
        <v>2455823297.3756928</v>
      </c>
      <c r="K158" s="4">
        <f>AdminY1*(1+AdminGrowth)^156</f>
        <v>177314796.09524941</v>
      </c>
      <c r="L158" s="4">
        <f t="shared" si="10"/>
        <v>7640156542.2385273</v>
      </c>
      <c r="M158" s="4">
        <f t="shared" si="11"/>
        <v>211520782007.95773</v>
      </c>
    </row>
    <row r="159" spans="1:13" x14ac:dyDescent="0.2">
      <c r="A159" s="3">
        <f>StartYear+157</f>
        <v>2182</v>
      </c>
      <c r="B159" s="4">
        <f>FacultyFTE*HoursPerWeek*WeeksPerYear*RatePerHour*(1+PracticeGrowth)^157</f>
        <v>611100222.35107672</v>
      </c>
      <c r="C159" s="4">
        <f>StudentsY1*(1+StudentGrowth)^157*CreditsPerStudent*TuitionPerCredit</f>
        <v>3819376389.6942296</v>
      </c>
      <c r="D159" s="4">
        <f>SimRevY1*(1+SimGrowth)^157</f>
        <v>157623720477.60434</v>
      </c>
      <c r="E159" s="4">
        <f>FacDevRevY1*(1+FacDevGrowth)^157</f>
        <v>78811860238.80217</v>
      </c>
      <c r="F159" s="4">
        <f t="shared" si="8"/>
        <v>240254957106.10077</v>
      </c>
      <c r="G159" s="4">
        <f t="shared" si="9"/>
        <v>240866057328.45184</v>
      </c>
      <c r="H159" s="4">
        <f>SalaryFTECount*SalaryPerFTE*(1+SalaryGrowth)^157</f>
        <v>99186728.176847905</v>
      </c>
      <c r="I159" s="4">
        <f>SimOpsY1*(1+SimOpsGrowth)^157</f>
        <v>5304578322.3314962</v>
      </c>
      <c r="J159" s="4">
        <f>TrainDevY1*(1+TrainDevGrowth)^157</f>
        <v>2652289161.1657481</v>
      </c>
      <c r="K159" s="4">
        <f>AdminY1*(1+AdminGrowth)^157</f>
        <v>187953683.86096439</v>
      </c>
      <c r="L159" s="4">
        <f t="shared" si="10"/>
        <v>8244007895.5350561</v>
      </c>
      <c r="M159" s="4">
        <f t="shared" si="11"/>
        <v>232622049432.91678</v>
      </c>
    </row>
    <row r="160" spans="1:13" x14ac:dyDescent="0.2">
      <c r="A160" s="3">
        <f>StartYear+158</f>
        <v>2183</v>
      </c>
      <c r="B160" s="4">
        <f>FacultyFTE*HoursPerWeek*WeeksPerYear*RatePerHour*(1+PracticeGrowth)^158</f>
        <v>641655233.46863043</v>
      </c>
      <c r="C160" s="4">
        <f>StudentsY1*(1+StudentGrowth)^158*CreditsPerStudent*TuitionPerCredit</f>
        <v>4010345209.1789403</v>
      </c>
      <c r="D160" s="4">
        <f>SimRevY1*(1+SimGrowth)^158</f>
        <v>173386092525.36481</v>
      </c>
      <c r="E160" s="4">
        <f>FacDevRevY1*(1+FacDevGrowth)^158</f>
        <v>86693046262.682404</v>
      </c>
      <c r="F160" s="4">
        <f t="shared" si="8"/>
        <v>264089483997.22617</v>
      </c>
      <c r="G160" s="4">
        <f t="shared" si="9"/>
        <v>264731139230.69479</v>
      </c>
      <c r="H160" s="4">
        <f>SalaryFTECount*SalaryPerFTE*(1+SalaryGrowth)^158</f>
        <v>103154197.3039218</v>
      </c>
      <c r="I160" s="4">
        <f>SimOpsY1*(1+SimOpsGrowth)^158</f>
        <v>5728944588.1180172</v>
      </c>
      <c r="J160" s="4">
        <f>TrainDevY1*(1+TrainDevGrowth)^158</f>
        <v>2864472294.0590086</v>
      </c>
      <c r="K160" s="4">
        <f>AdminY1*(1+AdminGrowth)^158</f>
        <v>199230904.89262223</v>
      </c>
      <c r="L160" s="4">
        <f t="shared" si="10"/>
        <v>8895801984.3735695</v>
      </c>
      <c r="M160" s="4">
        <f t="shared" si="11"/>
        <v>255835337246.32123</v>
      </c>
    </row>
    <row r="161" spans="1:13" x14ac:dyDescent="0.2">
      <c r="A161" s="3">
        <f>StartYear+159</f>
        <v>2184</v>
      </c>
      <c r="B161" s="4">
        <f>FacultyFTE*HoursPerWeek*WeeksPerYear*RatePerHour*(1+PracticeGrowth)^159</f>
        <v>673737995.14206219</v>
      </c>
      <c r="C161" s="4">
        <f>StudentsY1*(1+StudentGrowth)^159*CreditsPerStudent*TuitionPerCredit</f>
        <v>4210862469.6378889</v>
      </c>
      <c r="D161" s="4">
        <f>SimRevY1*(1+SimGrowth)^159</f>
        <v>190724701777.90128</v>
      </c>
      <c r="E161" s="4">
        <f>FacDevRevY1*(1+FacDevGrowth)^159</f>
        <v>95362350888.950638</v>
      </c>
      <c r="F161" s="4">
        <f t="shared" si="8"/>
        <v>290297915136.48981</v>
      </c>
      <c r="G161" s="4">
        <f t="shared" si="9"/>
        <v>290971653131.6319</v>
      </c>
      <c r="H161" s="4">
        <f>SalaryFTECount*SalaryPerFTE*(1+SalaryGrowth)^159</f>
        <v>107280365.19607869</v>
      </c>
      <c r="I161" s="4">
        <f>SimOpsY1*(1+SimOpsGrowth)^159</f>
        <v>6187260155.1674595</v>
      </c>
      <c r="J161" s="4">
        <f>TrainDevY1*(1+TrainDevGrowth)^159</f>
        <v>3093630077.5837297</v>
      </c>
      <c r="K161" s="4">
        <f>AdminY1*(1+AdminGrowth)^159</f>
        <v>211184759.18617961</v>
      </c>
      <c r="L161" s="4">
        <f t="shared" si="10"/>
        <v>9599355357.1334476</v>
      </c>
      <c r="M161" s="4">
        <f t="shared" si="11"/>
        <v>281372297774.49847</v>
      </c>
    </row>
    <row r="162" spans="1:13" x14ac:dyDescent="0.2">
      <c r="A162" s="3">
        <f>StartYear+160</f>
        <v>2185</v>
      </c>
      <c r="B162" s="4">
        <f>FacultyFTE*HoursPerWeek*WeeksPerYear*RatePerHour*(1+PracticeGrowth)^160</f>
        <v>707424894.89916515</v>
      </c>
      <c r="C162" s="4">
        <f>StudentsY1*(1+StudentGrowth)^160*CreditsPerStudent*TuitionPerCredit</f>
        <v>4421405593.1197824</v>
      </c>
      <c r="D162" s="4">
        <f>SimRevY1*(1+SimGrowth)^160</f>
        <v>209797171955.69141</v>
      </c>
      <c r="E162" s="4">
        <f>FacDevRevY1*(1+FacDevGrowth)^160</f>
        <v>104898585977.8457</v>
      </c>
      <c r="F162" s="4">
        <f t="shared" si="8"/>
        <v>319117163526.65686</v>
      </c>
      <c r="G162" s="4">
        <f t="shared" si="9"/>
        <v>319824588421.55603</v>
      </c>
      <c r="H162" s="4">
        <f>SalaryFTECount*SalaryPerFTE*(1+SalaryGrowth)^160</f>
        <v>111571579.80392185</v>
      </c>
      <c r="I162" s="4">
        <f>SimOpsY1*(1+SimOpsGrowth)^160</f>
        <v>6682240967.5808554</v>
      </c>
      <c r="J162" s="4">
        <f>TrainDevY1*(1+TrainDevGrowth)^160</f>
        <v>3341120483.7904277</v>
      </c>
      <c r="K162" s="4">
        <f>AdminY1*(1+AdminGrowth)^160</f>
        <v>223855844.73735034</v>
      </c>
      <c r="L162" s="4">
        <f t="shared" si="10"/>
        <v>10358788875.912556</v>
      </c>
      <c r="M162" s="4">
        <f t="shared" si="11"/>
        <v>309465799545.64349</v>
      </c>
    </row>
    <row r="163" spans="1:13" x14ac:dyDescent="0.2">
      <c r="A163" s="3">
        <f>StartYear+161</f>
        <v>2186</v>
      </c>
      <c r="B163" s="4">
        <f>FacultyFTE*HoursPerWeek*WeeksPerYear*RatePerHour*(1+PracticeGrowth)^161</f>
        <v>742796139.64412355</v>
      </c>
      <c r="C163" s="4">
        <f>StudentsY1*(1+StudentGrowth)^161*CreditsPerStudent*TuitionPerCredit</f>
        <v>4642475872.7757721</v>
      </c>
      <c r="D163" s="4">
        <f>SimRevY1*(1+SimGrowth)^161</f>
        <v>230776889151.26059</v>
      </c>
      <c r="E163" s="4">
        <f>FacDevRevY1*(1+FacDevGrowth)^161</f>
        <v>115388444575.63029</v>
      </c>
      <c r="F163" s="4">
        <f t="shared" si="8"/>
        <v>350807809599.66669</v>
      </c>
      <c r="G163" s="4">
        <f t="shared" si="9"/>
        <v>351550605739.31079</v>
      </c>
      <c r="H163" s="4">
        <f>SalaryFTECount*SalaryPerFTE*(1+SalaryGrowth)^161</f>
        <v>116034442.99607871</v>
      </c>
      <c r="I163" s="4">
        <f>SimOpsY1*(1+SimOpsGrowth)^161</f>
        <v>7216820244.9873238</v>
      </c>
      <c r="J163" s="4">
        <f>TrainDevY1*(1+TrainDevGrowth)^161</f>
        <v>3608410122.4936619</v>
      </c>
      <c r="K163" s="4">
        <f>AdminY1*(1+AdminGrowth)^161</f>
        <v>237287195.4215914</v>
      </c>
      <c r="L163" s="4">
        <f t="shared" si="10"/>
        <v>11178552005.898655</v>
      </c>
      <c r="M163" s="4">
        <f t="shared" si="11"/>
        <v>340372053733.41211</v>
      </c>
    </row>
    <row r="164" spans="1:13" x14ac:dyDescent="0.2">
      <c r="A164" s="3">
        <f>StartYear+162</f>
        <v>2187</v>
      </c>
      <c r="B164" s="4">
        <f>FacultyFTE*HoursPerWeek*WeeksPerYear*RatePerHour*(1+PracticeGrowth)^162</f>
        <v>779935946.62632954</v>
      </c>
      <c r="C164" s="4">
        <f>StudentsY1*(1+StudentGrowth)^162*CreditsPerStudent*TuitionPerCredit</f>
        <v>4874599666.4145594</v>
      </c>
      <c r="D164" s="4">
        <f>SimRevY1*(1+SimGrowth)^162</f>
        <v>253854578066.38666</v>
      </c>
      <c r="E164" s="4">
        <f>FacDevRevY1*(1+FacDevGrowth)^162</f>
        <v>126927289033.19333</v>
      </c>
      <c r="F164" s="4">
        <f t="shared" si="8"/>
        <v>385656466765.99451</v>
      </c>
      <c r="G164" s="4">
        <f t="shared" si="9"/>
        <v>386436402712.62085</v>
      </c>
      <c r="H164" s="4">
        <f>SalaryFTECount*SalaryPerFTE*(1+SalaryGrowth)^162</f>
        <v>120675820.71592186</v>
      </c>
      <c r="I164" s="4">
        <f>SimOpsY1*(1+SimOpsGrowth)^162</f>
        <v>7794165864.5863094</v>
      </c>
      <c r="J164" s="4">
        <f>TrainDevY1*(1+TrainDevGrowth)^162</f>
        <v>3897082932.2931547</v>
      </c>
      <c r="K164" s="4">
        <f>AdminY1*(1+AdminGrowth)^162</f>
        <v>251524427.14688689</v>
      </c>
      <c r="L164" s="4">
        <f t="shared" si="10"/>
        <v>12063449044.742273</v>
      </c>
      <c r="M164" s="4">
        <f t="shared" si="11"/>
        <v>374372953667.8786</v>
      </c>
    </row>
    <row r="165" spans="1:13" x14ac:dyDescent="0.2">
      <c r="A165" s="3">
        <f>StartYear+163</f>
        <v>2188</v>
      </c>
      <c r="B165" s="4">
        <f>FacultyFTE*HoursPerWeek*WeeksPerYear*RatePerHour*(1+PracticeGrowth)^163</f>
        <v>818932743.95764625</v>
      </c>
      <c r="C165" s="4">
        <f>StudentsY1*(1+StudentGrowth)^163*CreditsPerStudent*TuitionPerCredit</f>
        <v>5118329649.7352886</v>
      </c>
      <c r="D165" s="4">
        <f>SimRevY1*(1+SimGrowth)^163</f>
        <v>279240035873.02539</v>
      </c>
      <c r="E165" s="4">
        <f>FacDevRevY1*(1+FacDevGrowth)^163</f>
        <v>139620017936.5127</v>
      </c>
      <c r="F165" s="4">
        <f t="shared" si="8"/>
        <v>423978383459.27338</v>
      </c>
      <c r="G165" s="4">
        <f t="shared" si="9"/>
        <v>424797316203.23102</v>
      </c>
      <c r="H165" s="4">
        <f>SalaryFTECount*SalaryPerFTE*(1+SalaryGrowth)^163</f>
        <v>125502853.54455875</v>
      </c>
      <c r="I165" s="4">
        <f>SimOpsY1*(1+SimOpsGrowth)^163</f>
        <v>8417699133.7532158</v>
      </c>
      <c r="J165" s="4">
        <f>TrainDevY1*(1+TrainDevGrowth)^163</f>
        <v>4208849566.8766079</v>
      </c>
      <c r="K165" s="4">
        <f>AdminY1*(1+AdminGrowth)^163</f>
        <v>266615892.77570015</v>
      </c>
      <c r="L165" s="4">
        <f t="shared" si="10"/>
        <v>13018667446.950081</v>
      </c>
      <c r="M165" s="4">
        <f t="shared" si="11"/>
        <v>411778648756.28094</v>
      </c>
    </row>
    <row r="166" spans="1:13" x14ac:dyDescent="0.2">
      <c r="A166" s="3">
        <f>StartYear+164</f>
        <v>2189</v>
      </c>
      <c r="B166" s="4">
        <f>FacultyFTE*HoursPerWeek*WeeksPerYear*RatePerHour*(1+PracticeGrowth)^164</f>
        <v>859879381.15552843</v>
      </c>
      <c r="C166" s="4">
        <f>StudentsY1*(1+StudentGrowth)^164*CreditsPerStudent*TuitionPerCredit</f>
        <v>5374246132.2220526</v>
      </c>
      <c r="D166" s="4">
        <f>SimRevY1*(1+SimGrowth)^164</f>
        <v>307164039460.32788</v>
      </c>
      <c r="E166" s="4">
        <f>FacDevRevY1*(1+FacDevGrowth)^164</f>
        <v>153582019730.16394</v>
      </c>
      <c r="F166" s="4">
        <f t="shared" si="8"/>
        <v>466120305322.71387</v>
      </c>
      <c r="G166" s="4">
        <f t="shared" si="9"/>
        <v>466980184703.86938</v>
      </c>
      <c r="H166" s="4">
        <f>SalaryFTECount*SalaryPerFTE*(1+SalaryGrowth)^164</f>
        <v>130522967.68634111</v>
      </c>
      <c r="I166" s="4">
        <f>SimOpsY1*(1+SimOpsGrowth)^164</f>
        <v>9091115064.453474</v>
      </c>
      <c r="J166" s="4">
        <f>TrainDevY1*(1+TrainDevGrowth)^164</f>
        <v>4545557532.226737</v>
      </c>
      <c r="K166" s="4">
        <f>AdminY1*(1+AdminGrowth)^164</f>
        <v>282612846.34224218</v>
      </c>
      <c r="L166" s="4">
        <f t="shared" si="10"/>
        <v>14049808410.708792</v>
      </c>
      <c r="M166" s="4">
        <f t="shared" si="11"/>
        <v>452930376293.16058</v>
      </c>
    </row>
    <row r="167" spans="1:13" x14ac:dyDescent="0.2">
      <c r="A167" s="3">
        <f>StartYear+165</f>
        <v>2190</v>
      </c>
      <c r="B167" s="4">
        <f>FacultyFTE*HoursPerWeek*WeeksPerYear*RatePerHour*(1+PracticeGrowth)^165</f>
        <v>902873350.213305</v>
      </c>
      <c r="C167" s="4">
        <f>StudentsY1*(1+StudentGrowth)^165*CreditsPerStudent*TuitionPerCredit</f>
        <v>5642958438.8331556</v>
      </c>
      <c r="D167" s="4">
        <f>SimRevY1*(1+SimGrowth)^165</f>
        <v>337880443406.36072</v>
      </c>
      <c r="E167" s="4">
        <f>FacDevRevY1*(1+FacDevGrowth)^165</f>
        <v>168940221703.18036</v>
      </c>
      <c r="F167" s="4">
        <f t="shared" si="8"/>
        <v>512463623548.37421</v>
      </c>
      <c r="G167" s="4">
        <f t="shared" si="9"/>
        <v>513366496898.58752</v>
      </c>
      <c r="H167" s="4">
        <f>SalaryFTECount*SalaryPerFTE*(1+SalaryGrowth)^165</f>
        <v>135743886.39379478</v>
      </c>
      <c r="I167" s="4">
        <f>SimOpsY1*(1+SimOpsGrowth)^165</f>
        <v>9818404269.6097527</v>
      </c>
      <c r="J167" s="4">
        <f>TrainDevY1*(1+TrainDevGrowth)^165</f>
        <v>4909202134.8048763</v>
      </c>
      <c r="K167" s="4">
        <f>AdminY1*(1+AdminGrowth)^165</f>
        <v>299569617.12277669</v>
      </c>
      <c r="L167" s="4">
        <f t="shared" si="10"/>
        <v>15162919907.9312</v>
      </c>
      <c r="M167" s="4">
        <f t="shared" si="11"/>
        <v>498203576990.65631</v>
      </c>
    </row>
    <row r="168" spans="1:13" x14ac:dyDescent="0.2">
      <c r="A168" s="3">
        <f>StartYear+166</f>
        <v>2191</v>
      </c>
      <c r="B168" s="4">
        <f>FacultyFTE*HoursPerWeek*WeeksPerYear*RatePerHour*(1+PracticeGrowth)^166</f>
        <v>948017017.72396994</v>
      </c>
      <c r="C168" s="4">
        <f>StudentsY1*(1+StudentGrowth)^166*CreditsPerStudent*TuitionPerCredit</f>
        <v>5925106360.7748127</v>
      </c>
      <c r="D168" s="4">
        <f>SimRevY1*(1+SimGrowth)^166</f>
        <v>371668487746.99683</v>
      </c>
      <c r="E168" s="4">
        <f>FacDevRevY1*(1+FacDevGrowth)^166</f>
        <v>185834243873.49841</v>
      </c>
      <c r="F168" s="4">
        <f t="shared" si="8"/>
        <v>563427837981.27002</v>
      </c>
      <c r="G168" s="4">
        <f t="shared" si="9"/>
        <v>564375854998.99402</v>
      </c>
      <c r="H168" s="4">
        <f>SalaryFTECount*SalaryPerFTE*(1+SalaryGrowth)^166</f>
        <v>141173641.84954655</v>
      </c>
      <c r="I168" s="4">
        <f>SimOpsY1*(1+SimOpsGrowth)^166</f>
        <v>10603876611.178534</v>
      </c>
      <c r="J168" s="4">
        <f>TrainDevY1*(1+TrainDevGrowth)^166</f>
        <v>5301938305.5892668</v>
      </c>
      <c r="K168" s="4">
        <f>AdminY1*(1+AdminGrowth)^166</f>
        <v>317543794.15014338</v>
      </c>
      <c r="L168" s="4">
        <f t="shared" si="10"/>
        <v>16364532352.76749</v>
      </c>
      <c r="M168" s="4">
        <f t="shared" si="11"/>
        <v>548011322646.2265</v>
      </c>
    </row>
    <row r="169" spans="1:13" x14ac:dyDescent="0.2">
      <c r="A169" s="3">
        <f>StartYear+167</f>
        <v>2192</v>
      </c>
      <c r="B169" s="4">
        <f>FacultyFTE*HoursPerWeek*WeeksPerYear*RatePerHour*(1+PracticeGrowth)^167</f>
        <v>995417868.6101687</v>
      </c>
      <c r="C169" s="4">
        <f>StudentsY1*(1+StudentGrowth)^167*CreditsPerStudent*TuitionPerCredit</f>
        <v>6221361678.8135548</v>
      </c>
      <c r="D169" s="4">
        <f>SimRevY1*(1+SimGrowth)^167</f>
        <v>408835336521.69653</v>
      </c>
      <c r="E169" s="4">
        <f>FacDevRevY1*(1+FacDevGrowth)^167</f>
        <v>204417668260.84827</v>
      </c>
      <c r="F169" s="4">
        <f t="shared" si="8"/>
        <v>619474366461.3584</v>
      </c>
      <c r="G169" s="4">
        <f t="shared" si="9"/>
        <v>620469784329.96863</v>
      </c>
      <c r="H169" s="4">
        <f>SalaryFTECount*SalaryPerFTE*(1+SalaryGrowth)^167</f>
        <v>146820587.5235284</v>
      </c>
      <c r="I169" s="4">
        <f>SimOpsY1*(1+SimOpsGrowth)^167</f>
        <v>11452186740.072817</v>
      </c>
      <c r="J169" s="4">
        <f>TrainDevY1*(1+TrainDevGrowth)^167</f>
        <v>5726093370.0364084</v>
      </c>
      <c r="K169" s="4">
        <f>AdminY1*(1+AdminGrowth)^167</f>
        <v>336596421.79915202</v>
      </c>
      <c r="L169" s="4">
        <f t="shared" si="10"/>
        <v>17661697119.431908</v>
      </c>
      <c r="M169" s="4">
        <f t="shared" si="11"/>
        <v>602808087210.53674</v>
      </c>
    </row>
    <row r="170" spans="1:13" x14ac:dyDescent="0.2">
      <c r="A170" s="3">
        <f>StartYear+168</f>
        <v>2193</v>
      </c>
      <c r="B170" s="4">
        <f>FacultyFTE*HoursPerWeek*WeeksPerYear*RatePerHour*(1+PracticeGrowth)^168</f>
        <v>1045188762.040677</v>
      </c>
      <c r="C170" s="4">
        <f>StudentsY1*(1+StudentGrowth)^168*CreditsPerStudent*TuitionPerCredit</f>
        <v>6532429762.7542305</v>
      </c>
      <c r="D170" s="4">
        <f>SimRevY1*(1+SimGrowth)^168</f>
        <v>449718870173.86609</v>
      </c>
      <c r="E170" s="4">
        <f>FacDevRevY1*(1+FacDevGrowth)^168</f>
        <v>224859435086.93304</v>
      </c>
      <c r="F170" s="4">
        <f t="shared" si="8"/>
        <v>681110735023.55334</v>
      </c>
      <c r="G170" s="4">
        <f t="shared" si="9"/>
        <v>682155923785.59399</v>
      </c>
      <c r="H170" s="4">
        <f>SalaryFTECount*SalaryPerFTE*(1+SalaryGrowth)^168</f>
        <v>152693411.02446958</v>
      </c>
      <c r="I170" s="4">
        <f>SimOpsY1*(1+SimOpsGrowth)^168</f>
        <v>12368361679.278643</v>
      </c>
      <c r="J170" s="4">
        <f>TrainDevY1*(1+TrainDevGrowth)^168</f>
        <v>6184180839.6393213</v>
      </c>
      <c r="K170" s="4">
        <f>AdminY1*(1+AdminGrowth)^168</f>
        <v>356792207.10710108</v>
      </c>
      <c r="L170" s="4">
        <f t="shared" si="10"/>
        <v>19062028137.049534</v>
      </c>
      <c r="M170" s="4">
        <f t="shared" si="11"/>
        <v>663093895648.54443</v>
      </c>
    </row>
    <row r="171" spans="1:13" x14ac:dyDescent="0.2">
      <c r="A171" s="3">
        <f>StartYear+169</f>
        <v>2194</v>
      </c>
      <c r="B171" s="4">
        <f>FacultyFTE*HoursPerWeek*WeeksPerYear*RatePerHour*(1+PracticeGrowth)^169</f>
        <v>1097448200.1427109</v>
      </c>
      <c r="C171" s="4">
        <f>StudentsY1*(1+StudentGrowth)^169*CreditsPerStudent*TuitionPerCredit</f>
        <v>6859051250.8919439</v>
      </c>
      <c r="D171" s="4">
        <f>SimRevY1*(1+SimGrowth)^169</f>
        <v>494690757191.25281</v>
      </c>
      <c r="E171" s="4">
        <f>FacDevRevY1*(1+FacDevGrowth)^169</f>
        <v>247345378595.6264</v>
      </c>
      <c r="F171" s="4">
        <f t="shared" si="8"/>
        <v>748895187037.77124</v>
      </c>
      <c r="G171" s="4">
        <f t="shared" si="9"/>
        <v>749992635237.91394</v>
      </c>
      <c r="H171" s="4">
        <f>SalaryFTECount*SalaryPerFTE*(1+SalaryGrowth)^169</f>
        <v>158801147.46544838</v>
      </c>
      <c r="I171" s="4">
        <f>SimOpsY1*(1+SimOpsGrowth)^169</f>
        <v>13357830613.620935</v>
      </c>
      <c r="J171" s="4">
        <f>TrainDevY1*(1+TrainDevGrowth)^169</f>
        <v>6678915306.8104677</v>
      </c>
      <c r="K171" s="4">
        <f>AdminY1*(1+AdminGrowth)^169</f>
        <v>378199739.53352708</v>
      </c>
      <c r="L171" s="4">
        <f t="shared" si="10"/>
        <v>20573746807.430378</v>
      </c>
      <c r="M171" s="4">
        <f t="shared" si="11"/>
        <v>729418888430.48352</v>
      </c>
    </row>
    <row r="172" spans="1:13" x14ac:dyDescent="0.2">
      <c r="A172" s="3">
        <f>StartYear+170</f>
        <v>2195</v>
      </c>
      <c r="B172" s="4">
        <f>FacultyFTE*HoursPerWeek*WeeksPerYear*RatePerHour*(1+PracticeGrowth)^170</f>
        <v>1152320610.1498466</v>
      </c>
      <c r="C172" s="4">
        <f>StudentsY1*(1+StudentGrowth)^170*CreditsPerStudent*TuitionPerCredit</f>
        <v>7202003813.4365406</v>
      </c>
      <c r="D172" s="4">
        <f>SimRevY1*(1+SimGrowth)^170</f>
        <v>544159832910.37811</v>
      </c>
      <c r="E172" s="4">
        <f>FacDevRevY1*(1+FacDevGrowth)^170</f>
        <v>272079916455.18906</v>
      </c>
      <c r="F172" s="4">
        <f t="shared" si="8"/>
        <v>823441753179.00378</v>
      </c>
      <c r="G172" s="4">
        <f t="shared" si="9"/>
        <v>824594073789.15369</v>
      </c>
      <c r="H172" s="4">
        <f>SalaryFTECount*SalaryPerFTE*(1+SalaryGrowth)^170</f>
        <v>165153193.36406627</v>
      </c>
      <c r="I172" s="4">
        <f>SimOpsY1*(1+SimOpsGrowth)^170</f>
        <v>14426457062.710608</v>
      </c>
      <c r="J172" s="4">
        <f>TrainDevY1*(1+TrainDevGrowth)^170</f>
        <v>7213228531.3553038</v>
      </c>
      <c r="K172" s="4">
        <f>AdminY1*(1+AdminGrowth)^170</f>
        <v>400891723.9055388</v>
      </c>
      <c r="L172" s="4">
        <f t="shared" si="10"/>
        <v>22205730511.335518</v>
      </c>
      <c r="M172" s="4">
        <f t="shared" si="11"/>
        <v>802388343277.81812</v>
      </c>
    </row>
    <row r="173" spans="1:13" x14ac:dyDescent="0.2">
      <c r="A173" s="3">
        <f>StartYear+171</f>
        <v>2196</v>
      </c>
      <c r="B173" s="4">
        <f>FacultyFTE*HoursPerWeek*WeeksPerYear*RatePerHour*(1+PracticeGrowth)^171</f>
        <v>1209936640.6573389</v>
      </c>
      <c r="C173" s="4">
        <f>StudentsY1*(1+StudentGrowth)^171*CreditsPerStudent*TuitionPerCredit</f>
        <v>7562104004.108367</v>
      </c>
      <c r="D173" s="4">
        <f>SimRevY1*(1+SimGrowth)^171</f>
        <v>598575816201.41602</v>
      </c>
      <c r="E173" s="4">
        <f>FacDevRevY1*(1+FacDevGrowth)^171</f>
        <v>299287908100.70801</v>
      </c>
      <c r="F173" s="4">
        <f t="shared" si="8"/>
        <v>905425828306.23242</v>
      </c>
      <c r="G173" s="4">
        <f t="shared" si="9"/>
        <v>906635764946.88977</v>
      </c>
      <c r="H173" s="4">
        <f>SalaryFTECount*SalaryPerFTE*(1+SalaryGrowth)^171</f>
        <v>171759321.09862897</v>
      </c>
      <c r="I173" s="4">
        <f>SimOpsY1*(1+SimOpsGrowth)^171</f>
        <v>15580573627.727457</v>
      </c>
      <c r="J173" s="4">
        <f>TrainDevY1*(1+TrainDevGrowth)^171</f>
        <v>7790286813.8637285</v>
      </c>
      <c r="K173" s="4">
        <f>AdminY1*(1+AdminGrowth)^171</f>
        <v>424945227.33987123</v>
      </c>
      <c r="L173" s="4">
        <f t="shared" si="10"/>
        <v>23967564990.029686</v>
      </c>
      <c r="M173" s="4">
        <f t="shared" si="11"/>
        <v>882668199956.86011</v>
      </c>
    </row>
    <row r="174" spans="1:13" x14ac:dyDescent="0.2">
      <c r="A174" s="3">
        <f>StartYear+172</f>
        <v>2197</v>
      </c>
      <c r="B174" s="4">
        <f>FacultyFTE*HoursPerWeek*WeeksPerYear*RatePerHour*(1+PracticeGrowth)^172</f>
        <v>1270433472.6902058</v>
      </c>
      <c r="C174" s="4">
        <f>StudentsY1*(1+StudentGrowth)^172*CreditsPerStudent*TuitionPerCredit</f>
        <v>7940209204.3137856</v>
      </c>
      <c r="D174" s="4">
        <f>SimRevY1*(1+SimGrowth)^172</f>
        <v>658433397821.55762</v>
      </c>
      <c r="E174" s="4">
        <f>FacDevRevY1*(1+FacDevGrowth)^172</f>
        <v>329216698910.77881</v>
      </c>
      <c r="F174" s="4">
        <f t="shared" si="8"/>
        <v>995590305936.65027</v>
      </c>
      <c r="G174" s="4">
        <f t="shared" si="9"/>
        <v>996860739409.34045</v>
      </c>
      <c r="H174" s="4">
        <f>SalaryFTECount*SalaryPerFTE*(1+SalaryGrowth)^172</f>
        <v>178629693.94257411</v>
      </c>
      <c r="I174" s="4">
        <f>SimOpsY1*(1+SimOpsGrowth)^172</f>
        <v>16827019517.945656</v>
      </c>
      <c r="J174" s="4">
        <f>TrainDevY1*(1+TrainDevGrowth)^172</f>
        <v>8413509758.9728279</v>
      </c>
      <c r="K174" s="4">
        <f>AdminY1*(1+AdminGrowth)^172</f>
        <v>450441940.98026347</v>
      </c>
      <c r="L174" s="4">
        <f t="shared" si="10"/>
        <v>25869600911.84132</v>
      </c>
      <c r="M174" s="4">
        <f t="shared" si="11"/>
        <v>970991138497.49915</v>
      </c>
    </row>
    <row r="175" spans="1:13" x14ac:dyDescent="0.2">
      <c r="A175" s="3">
        <f>StartYear+173</f>
        <v>2198</v>
      </c>
      <c r="B175" s="4">
        <f>FacultyFTE*HoursPerWeek*WeeksPerYear*RatePerHour*(1+PracticeGrowth)^173</f>
        <v>1333955146.3247163</v>
      </c>
      <c r="C175" s="4">
        <f>StudentsY1*(1+StudentGrowth)^173*CreditsPerStudent*TuitionPerCredit</f>
        <v>8337219664.5294771</v>
      </c>
      <c r="D175" s="4">
        <f>SimRevY1*(1+SimGrowth)^173</f>
        <v>724276737603.7135</v>
      </c>
      <c r="E175" s="4">
        <f>FacDevRevY1*(1+FacDevGrowth)^173</f>
        <v>362138368801.85675</v>
      </c>
      <c r="F175" s="4">
        <f t="shared" si="8"/>
        <v>1094752326070.0996</v>
      </c>
      <c r="G175" s="4">
        <f t="shared" si="9"/>
        <v>1096086281216.4243</v>
      </c>
      <c r="H175" s="4">
        <f>SalaryFTECount*SalaryPerFTE*(1+SalaryGrowth)^173</f>
        <v>185774881.70027712</v>
      </c>
      <c r="I175" s="4">
        <f>SimOpsY1*(1+SimOpsGrowth)^173</f>
        <v>18173181079.38131</v>
      </c>
      <c r="J175" s="4">
        <f>TrainDevY1*(1+TrainDevGrowth)^173</f>
        <v>9086590539.6906548</v>
      </c>
      <c r="K175" s="4">
        <f>AdminY1*(1+AdminGrowth)^173</f>
        <v>477468457.43907928</v>
      </c>
      <c r="L175" s="4">
        <f t="shared" si="10"/>
        <v>27923014958.211319</v>
      </c>
      <c r="M175" s="4">
        <f t="shared" si="11"/>
        <v>1068163266258.213</v>
      </c>
    </row>
    <row r="176" spans="1:13" x14ac:dyDescent="0.2">
      <c r="A176" s="3">
        <f>StartYear+174</f>
        <v>2199</v>
      </c>
      <c r="B176" s="4">
        <f>FacultyFTE*HoursPerWeek*WeeksPerYear*RatePerHour*(1+PracticeGrowth)^174</f>
        <v>1400652903.6409519</v>
      </c>
      <c r="C176" s="4">
        <f>StudentsY1*(1+StudentGrowth)^174*CreditsPerStudent*TuitionPerCredit</f>
        <v>8754080647.755949</v>
      </c>
      <c r="D176" s="4">
        <f>SimRevY1*(1+SimGrowth)^174</f>
        <v>796704411364.08484</v>
      </c>
      <c r="E176" s="4">
        <f>FacDevRevY1*(1+FacDevGrowth)^174</f>
        <v>398352205682.04242</v>
      </c>
      <c r="F176" s="4">
        <f t="shared" si="8"/>
        <v>1203810697693.8833</v>
      </c>
      <c r="G176" s="4">
        <f t="shared" si="9"/>
        <v>1205211350597.5242</v>
      </c>
      <c r="H176" s="4">
        <f>SalaryFTECount*SalaryPerFTE*(1+SalaryGrowth)^174</f>
        <v>193205876.96828818</v>
      </c>
      <c r="I176" s="4">
        <f>SimOpsY1*(1+SimOpsGrowth)^174</f>
        <v>19627035565.731815</v>
      </c>
      <c r="J176" s="4">
        <f>TrainDevY1*(1+TrainDevGrowth)^174</f>
        <v>9813517782.8659077</v>
      </c>
      <c r="K176" s="4">
        <f>AdminY1*(1+AdminGrowth)^174</f>
        <v>506116564.88542408</v>
      </c>
      <c r="L176" s="4">
        <f t="shared" si="10"/>
        <v>30139875790.451435</v>
      </c>
      <c r="M176" s="4">
        <f t="shared" si="11"/>
        <v>1175071474807.0728</v>
      </c>
    </row>
    <row r="177" spans="1:13" x14ac:dyDescent="0.2">
      <c r="A177" s="3">
        <f>StartYear+175</f>
        <v>2200</v>
      </c>
      <c r="B177" s="4">
        <f>FacultyFTE*HoursPerWeek*WeeksPerYear*RatePerHour*(1+PracticeGrowth)^175</f>
        <v>1470685548.8229997</v>
      </c>
      <c r="C177" s="4">
        <f>StudentsY1*(1+StudentGrowth)^175*CreditsPerStudent*TuitionPerCredit</f>
        <v>9191784680.1437473</v>
      </c>
      <c r="D177" s="4">
        <f>SimRevY1*(1+SimGrowth)^175</f>
        <v>876374852500.49341</v>
      </c>
      <c r="E177" s="4">
        <f>FacDevRevY1*(1+FacDevGrowth)^175</f>
        <v>438187426250.2467</v>
      </c>
      <c r="F177" s="4">
        <f t="shared" si="8"/>
        <v>1323754063430.8838</v>
      </c>
      <c r="G177" s="4">
        <f t="shared" si="9"/>
        <v>1325224748979.7068</v>
      </c>
      <c r="H177" s="4">
        <f>SalaryFTECount*SalaryPerFTE*(1+SalaryGrowth)^175</f>
        <v>200934112.04701972</v>
      </c>
      <c r="I177" s="4">
        <f>SimOpsY1*(1+SimOpsGrowth)^175</f>
        <v>21197198410.990364</v>
      </c>
      <c r="J177" s="4">
        <f>TrainDevY1*(1+TrainDevGrowth)^175</f>
        <v>10598599205.495182</v>
      </c>
      <c r="K177" s="4">
        <f>AdminY1*(1+AdminGrowth)^175</f>
        <v>536483558.77854973</v>
      </c>
      <c r="L177" s="4">
        <f t="shared" si="10"/>
        <v>32533215287.311115</v>
      </c>
      <c r="M177" s="4">
        <f t="shared" si="11"/>
        <v>1292691533692.3958</v>
      </c>
    </row>
    <row r="178" spans="1:13" x14ac:dyDescent="0.2">
      <c r="A178" s="3">
        <f>StartYear+176</f>
        <v>2201</v>
      </c>
      <c r="B178" s="4">
        <f>FacultyFTE*HoursPerWeek*WeeksPerYear*RatePerHour*(1+PracticeGrowth)^176</f>
        <v>1544219826.2641497</v>
      </c>
      <c r="C178" s="4">
        <f>StudentsY1*(1+StudentGrowth)^176*CreditsPerStudent*TuitionPerCredit</f>
        <v>9651373914.1509361</v>
      </c>
      <c r="D178" s="4">
        <f>SimRevY1*(1+SimGrowth)^176</f>
        <v>964012337750.54272</v>
      </c>
      <c r="E178" s="4">
        <f>FacDevRevY1*(1+FacDevGrowth)^176</f>
        <v>482006168875.27136</v>
      </c>
      <c r="F178" s="4">
        <f t="shared" si="8"/>
        <v>1455669880539.9648</v>
      </c>
      <c r="G178" s="4">
        <f t="shared" si="9"/>
        <v>1457214100366.229</v>
      </c>
      <c r="H178" s="4">
        <f>SalaryFTECount*SalaryPerFTE*(1+SalaryGrowth)^176</f>
        <v>208971476.52890053</v>
      </c>
      <c r="I178" s="4">
        <f>SimOpsY1*(1+SimOpsGrowth)^176</f>
        <v>22892974283.869591</v>
      </c>
      <c r="J178" s="4">
        <f>TrainDevY1*(1+TrainDevGrowth)^176</f>
        <v>11446487141.934795</v>
      </c>
      <c r="K178" s="4">
        <f>AdminY1*(1+AdminGrowth)^176</f>
        <v>568672572.30526257</v>
      </c>
      <c r="L178" s="4">
        <f t="shared" si="10"/>
        <v>35117105474.638542</v>
      </c>
      <c r="M178" s="4">
        <f t="shared" si="11"/>
        <v>1422096994891.5906</v>
      </c>
    </row>
    <row r="179" spans="1:13" x14ac:dyDescent="0.2">
      <c r="A179" s="3">
        <f>StartYear+177</f>
        <v>2202</v>
      </c>
      <c r="B179" s="4">
        <f>FacultyFTE*HoursPerWeek*WeeksPerYear*RatePerHour*(1+PracticeGrowth)^177</f>
        <v>1621430817.5773573</v>
      </c>
      <c r="C179" s="4">
        <f>StudentsY1*(1+StudentGrowth)^177*CreditsPerStudent*TuitionPerCredit</f>
        <v>10133942609.858482</v>
      </c>
      <c r="D179" s="4">
        <f>SimRevY1*(1+SimGrowth)^177</f>
        <v>1060413571525.5972</v>
      </c>
      <c r="E179" s="4">
        <f>FacDevRevY1*(1+FacDevGrowth)^177</f>
        <v>530206785762.79858</v>
      </c>
      <c r="F179" s="4">
        <f t="shared" si="8"/>
        <v>1600754299898.2544</v>
      </c>
      <c r="G179" s="4">
        <f t="shared" si="9"/>
        <v>1602375730715.8318</v>
      </c>
      <c r="H179" s="4">
        <f>SalaryFTECount*SalaryPerFTE*(1+SalaryGrowth)^177</f>
        <v>217330335.59005657</v>
      </c>
      <c r="I179" s="4">
        <f>SimOpsY1*(1+SimOpsGrowth)^177</f>
        <v>24724412226.579159</v>
      </c>
      <c r="J179" s="4">
        <f>TrainDevY1*(1+TrainDevGrowth)^177</f>
        <v>12362206113.289579</v>
      </c>
      <c r="K179" s="4">
        <f>AdminY1*(1+AdminGrowth)^177</f>
        <v>602792926.64357829</v>
      </c>
      <c r="L179" s="4">
        <f t="shared" si="10"/>
        <v>37906741602.102371</v>
      </c>
      <c r="M179" s="4">
        <f t="shared" si="11"/>
        <v>1564468989113.7295</v>
      </c>
    </row>
    <row r="180" spans="1:13" x14ac:dyDescent="0.2">
      <c r="A180" s="3">
        <f>StartYear+178</f>
        <v>2203</v>
      </c>
      <c r="B180" s="4">
        <f>FacultyFTE*HoursPerWeek*WeeksPerYear*RatePerHour*(1+PracticeGrowth)^178</f>
        <v>1702502358.4562252</v>
      </c>
      <c r="C180" s="4">
        <f>StudentsY1*(1+StudentGrowth)^178*CreditsPerStudent*TuitionPerCredit</f>
        <v>10640639740.35141</v>
      </c>
      <c r="D180" s="4">
        <f>SimRevY1*(1+SimGrowth)^178</f>
        <v>1166454928678.157</v>
      </c>
      <c r="E180" s="4">
        <f>FacDevRevY1*(1+FacDevGrowth)^178</f>
        <v>583227464339.07849</v>
      </c>
      <c r="F180" s="4">
        <f t="shared" si="8"/>
        <v>1760323032757.5869</v>
      </c>
      <c r="G180" s="4">
        <f t="shared" si="9"/>
        <v>1762025535116.0432</v>
      </c>
      <c r="H180" s="4">
        <f>SalaryFTECount*SalaryPerFTE*(1+SalaryGrowth)^178</f>
        <v>226023549.01365882</v>
      </c>
      <c r="I180" s="4">
        <f>SimOpsY1*(1+SimOpsGrowth)^178</f>
        <v>26702365204.705494</v>
      </c>
      <c r="J180" s="4">
        <f>TrainDevY1*(1+TrainDevGrowth)^178</f>
        <v>13351182602.352747</v>
      </c>
      <c r="K180" s="4">
        <f>AdminY1*(1+AdminGrowth)^178</f>
        <v>638960502.24219298</v>
      </c>
      <c r="L180" s="4">
        <f t="shared" si="10"/>
        <v>40918531858.314095</v>
      </c>
      <c r="M180" s="4">
        <f t="shared" si="11"/>
        <v>1721107003257.729</v>
      </c>
    </row>
    <row r="181" spans="1:13" x14ac:dyDescent="0.2">
      <c r="A181" s="3">
        <f>StartYear+179</f>
        <v>2204</v>
      </c>
      <c r="B181" s="4">
        <f>FacultyFTE*HoursPerWeek*WeeksPerYear*RatePerHour*(1+PracticeGrowth)^179</f>
        <v>1787627476.3790364</v>
      </c>
      <c r="C181" s="4">
        <f>StudentsY1*(1+StudentGrowth)^179*CreditsPerStudent*TuitionPerCredit</f>
        <v>11172671727.368979</v>
      </c>
      <c r="D181" s="4">
        <f>SimRevY1*(1+SimGrowth)^179</f>
        <v>1283100421545.9729</v>
      </c>
      <c r="E181" s="4">
        <f>FacDevRevY1*(1+FacDevGrowth)^179</f>
        <v>641550210772.98645</v>
      </c>
      <c r="F181" s="4">
        <f t="shared" si="8"/>
        <v>1935823304046.3281</v>
      </c>
      <c r="G181" s="4">
        <f t="shared" si="9"/>
        <v>1937610931522.7073</v>
      </c>
      <c r="H181" s="4">
        <f>SalaryFTECount*SalaryPerFTE*(1+SalaryGrowth)^179</f>
        <v>235064490.97420523</v>
      </c>
      <c r="I181" s="4">
        <f>SimOpsY1*(1+SimOpsGrowth)^179</f>
        <v>28838554421.081936</v>
      </c>
      <c r="J181" s="4">
        <f>TrainDevY1*(1+TrainDevGrowth)^179</f>
        <v>14419277210.540968</v>
      </c>
      <c r="K181" s="4">
        <f>AdminY1*(1+AdminGrowth)^179</f>
        <v>677298132.37672472</v>
      </c>
      <c r="L181" s="4">
        <f t="shared" si="10"/>
        <v>44170194254.973831</v>
      </c>
      <c r="M181" s="4">
        <f t="shared" si="11"/>
        <v>1893440737267.7334</v>
      </c>
    </row>
    <row r="182" spans="1:13" x14ac:dyDescent="0.2">
      <c r="A182" s="3">
        <f>StartYear+180</f>
        <v>2205</v>
      </c>
      <c r="B182" s="4">
        <f>FacultyFTE*HoursPerWeek*WeeksPerYear*RatePerHour*(1+PracticeGrowth)^180</f>
        <v>1877008850.1979883</v>
      </c>
      <c r="C182" s="4">
        <f>StudentsY1*(1+StudentGrowth)^180*CreditsPerStudent*TuitionPerCredit</f>
        <v>11731305313.737425</v>
      </c>
      <c r="D182" s="4">
        <f>SimRevY1*(1+SimGrowth)^180</f>
        <v>1411410463700.5701</v>
      </c>
      <c r="E182" s="4">
        <f>FacDevRevY1*(1+FacDevGrowth)^180</f>
        <v>705705231850.28503</v>
      </c>
      <c r="F182" s="4">
        <f t="shared" si="8"/>
        <v>2128847000864.5923</v>
      </c>
      <c r="G182" s="4">
        <f t="shared" si="9"/>
        <v>2130724009714.7903</v>
      </c>
      <c r="H182" s="4">
        <f>SalaryFTECount*SalaryPerFTE*(1+SalaryGrowth)^180</f>
        <v>244467070.61317343</v>
      </c>
      <c r="I182" s="4">
        <f>SimOpsY1*(1+SimOpsGrowth)^180</f>
        <v>31145638774.76849</v>
      </c>
      <c r="J182" s="4">
        <f>TrainDevY1*(1+TrainDevGrowth)^180</f>
        <v>15572819387.384245</v>
      </c>
      <c r="K182" s="4">
        <f>AdminY1*(1+AdminGrowth)^180</f>
        <v>717936020.31932807</v>
      </c>
      <c r="L182" s="4">
        <f t="shared" si="10"/>
        <v>47680861253.085236</v>
      </c>
      <c r="M182" s="4">
        <f t="shared" si="11"/>
        <v>2083043148461.7051</v>
      </c>
    </row>
    <row r="183" spans="1:13" x14ac:dyDescent="0.2">
      <c r="A183" s="3">
        <f>StartYear+181</f>
        <v>2206</v>
      </c>
      <c r="B183" s="4">
        <f>FacultyFTE*HoursPerWeek*WeeksPerYear*RatePerHour*(1+PracticeGrowth)^181</f>
        <v>1970859292.7078876</v>
      </c>
      <c r="C183" s="4">
        <f>StudentsY1*(1+StudentGrowth)^181*CreditsPerStudent*TuitionPerCredit</f>
        <v>12317870579.424297</v>
      </c>
      <c r="D183" s="4">
        <f>SimRevY1*(1+SimGrowth)^181</f>
        <v>1552551510070.6274</v>
      </c>
      <c r="E183" s="4">
        <f>FacDevRevY1*(1+FacDevGrowth)^181</f>
        <v>776275755035.31372</v>
      </c>
      <c r="F183" s="4">
        <f t="shared" si="8"/>
        <v>2341145135685.3652</v>
      </c>
      <c r="G183" s="4">
        <f t="shared" si="9"/>
        <v>2343115994978.0732</v>
      </c>
      <c r="H183" s="4">
        <f>SalaryFTECount*SalaryPerFTE*(1+SalaryGrowth)^181</f>
        <v>254245753.43770039</v>
      </c>
      <c r="I183" s="4">
        <f>SimOpsY1*(1+SimOpsGrowth)^181</f>
        <v>33637289876.749966</v>
      </c>
      <c r="J183" s="4">
        <f>TrainDevY1*(1+TrainDevGrowth)^181</f>
        <v>16818644938.374983</v>
      </c>
      <c r="K183" s="4">
        <f>AdminY1*(1+AdminGrowth)^181</f>
        <v>761012181.53848803</v>
      </c>
      <c r="L183" s="4">
        <f t="shared" si="10"/>
        <v>51471192750.101143</v>
      </c>
      <c r="M183" s="4">
        <f t="shared" si="11"/>
        <v>2291644802227.9722</v>
      </c>
    </row>
    <row r="184" spans="1:13" x14ac:dyDescent="0.2">
      <c r="A184" s="3">
        <f>StartYear+182</f>
        <v>2207</v>
      </c>
      <c r="B184" s="4">
        <f>FacultyFTE*HoursPerWeek*WeeksPerYear*RatePerHour*(1+PracticeGrowth)^182</f>
        <v>2069402257.3432817</v>
      </c>
      <c r="C184" s="4">
        <f>StudentsY1*(1+StudentGrowth)^182*CreditsPerStudent*TuitionPerCredit</f>
        <v>12933764108.395512</v>
      </c>
      <c r="D184" s="4">
        <f>SimRevY1*(1+SimGrowth)^182</f>
        <v>1707806661077.6902</v>
      </c>
      <c r="E184" s="4">
        <f>FacDevRevY1*(1+FacDevGrowth)^182</f>
        <v>853903330538.84509</v>
      </c>
      <c r="F184" s="4">
        <f t="shared" si="8"/>
        <v>2574643755724.9307</v>
      </c>
      <c r="G184" s="4">
        <f t="shared" si="9"/>
        <v>2576713157982.2739</v>
      </c>
      <c r="H184" s="4">
        <f>SalaryFTECount*SalaryPerFTE*(1+SalaryGrowth)^182</f>
        <v>264415583.57520843</v>
      </c>
      <c r="I184" s="4">
        <f>SimOpsY1*(1+SimOpsGrowth)^182</f>
        <v>36328273066.889977</v>
      </c>
      <c r="J184" s="4">
        <f>TrainDevY1*(1+TrainDevGrowth)^182</f>
        <v>18164136533.444988</v>
      </c>
      <c r="K184" s="4">
        <f>AdminY1*(1+AdminGrowth)^182</f>
        <v>806672912.43079734</v>
      </c>
      <c r="L184" s="4">
        <f t="shared" si="10"/>
        <v>55563498096.340965</v>
      </c>
      <c r="M184" s="4">
        <f t="shared" si="11"/>
        <v>2521149659885.9331</v>
      </c>
    </row>
    <row r="185" spans="1:13" x14ac:dyDescent="0.2">
      <c r="A185" s="3">
        <f>StartYear+183</f>
        <v>2208</v>
      </c>
      <c r="B185" s="4">
        <f>FacultyFTE*HoursPerWeek*WeeksPerYear*RatePerHour*(1+PracticeGrowth)^183</f>
        <v>2172872370.2104464</v>
      </c>
      <c r="C185" s="4">
        <f>StudentsY1*(1+StudentGrowth)^183*CreditsPerStudent*TuitionPerCredit</f>
        <v>13580452313.81529</v>
      </c>
      <c r="D185" s="4">
        <f>SimRevY1*(1+SimGrowth)^183</f>
        <v>1878587327185.4595</v>
      </c>
      <c r="E185" s="4">
        <f>FacDevRevY1*(1+FacDevGrowth)^183</f>
        <v>939293663592.72974</v>
      </c>
      <c r="F185" s="4">
        <f t="shared" si="8"/>
        <v>2831461443092.0044</v>
      </c>
      <c r="G185" s="4">
        <f t="shared" si="9"/>
        <v>2833634315462.2148</v>
      </c>
      <c r="H185" s="4">
        <f>SalaryFTECount*SalaryPerFTE*(1+SalaryGrowth)^183</f>
        <v>274992206.91821676</v>
      </c>
      <c r="I185" s="4">
        <f>SimOpsY1*(1+SimOpsGrowth)^183</f>
        <v>39234534912.241173</v>
      </c>
      <c r="J185" s="4">
        <f>TrainDevY1*(1+TrainDevGrowth)^183</f>
        <v>19617267456.120586</v>
      </c>
      <c r="K185" s="4">
        <f>AdminY1*(1+AdminGrowth)^183</f>
        <v>855073287.17664528</v>
      </c>
      <c r="L185" s="4">
        <f t="shared" si="10"/>
        <v>59981867862.456627</v>
      </c>
      <c r="M185" s="4">
        <f t="shared" si="11"/>
        <v>2773652447599.7583</v>
      </c>
    </row>
    <row r="186" spans="1:13" x14ac:dyDescent="0.2">
      <c r="A186" s="3">
        <f>StartYear+184</f>
        <v>2209</v>
      </c>
      <c r="B186" s="4">
        <f>FacultyFTE*HoursPerWeek*WeeksPerYear*RatePerHour*(1+PracticeGrowth)^184</f>
        <v>2281515988.7209682</v>
      </c>
      <c r="C186" s="4">
        <f>StudentsY1*(1+StudentGrowth)^184*CreditsPerStudent*TuitionPerCredit</f>
        <v>14259474929.506052</v>
      </c>
      <c r="D186" s="4">
        <f>SimRevY1*(1+SimGrowth)^184</f>
        <v>2066446059904.0051</v>
      </c>
      <c r="E186" s="4">
        <f>FacDevRevY1*(1+FacDevGrowth)^184</f>
        <v>1033223029952.0026</v>
      </c>
      <c r="F186" s="4">
        <f t="shared" si="8"/>
        <v>3113928564785.5137</v>
      </c>
      <c r="G186" s="4">
        <f t="shared" si="9"/>
        <v>3116210080774.2349</v>
      </c>
      <c r="H186" s="4">
        <f>SalaryFTECount*SalaryPerFTE*(1+SalaryGrowth)^184</f>
        <v>285991895.19494539</v>
      </c>
      <c r="I186" s="4">
        <f>SimOpsY1*(1+SimOpsGrowth)^184</f>
        <v>42373297705.220467</v>
      </c>
      <c r="J186" s="4">
        <f>TrainDevY1*(1+TrainDevGrowth)^184</f>
        <v>21186648852.610233</v>
      </c>
      <c r="K186" s="4">
        <f>AdminY1*(1+AdminGrowth)^184</f>
        <v>906377684.40724385</v>
      </c>
      <c r="L186" s="4">
        <f t="shared" si="10"/>
        <v>64752316137.432892</v>
      </c>
      <c r="M186" s="4">
        <f t="shared" si="11"/>
        <v>3051457764636.8018</v>
      </c>
    </row>
    <row r="187" spans="1:13" x14ac:dyDescent="0.2">
      <c r="A187" s="3">
        <f>StartYear+185</f>
        <v>2210</v>
      </c>
      <c r="B187" s="4">
        <f>FacultyFTE*HoursPerWeek*WeeksPerYear*RatePerHour*(1+PracticeGrowth)^185</f>
        <v>2395591788.1570172</v>
      </c>
      <c r="C187" s="4">
        <f>StudentsY1*(1+StudentGrowth)^185*CreditsPerStudent*TuitionPerCredit</f>
        <v>14972448675.981356</v>
      </c>
      <c r="D187" s="4">
        <f>SimRevY1*(1+SimGrowth)^185</f>
        <v>2273090665894.4058</v>
      </c>
      <c r="E187" s="4">
        <f>FacDevRevY1*(1+FacDevGrowth)^185</f>
        <v>1136545332947.2029</v>
      </c>
      <c r="F187" s="4">
        <f t="shared" si="8"/>
        <v>3424608447517.5898</v>
      </c>
      <c r="G187" s="4">
        <f t="shared" si="9"/>
        <v>3427004039305.7471</v>
      </c>
      <c r="H187" s="4">
        <f>SalaryFTECount*SalaryPerFTE*(1+SalaryGrowth)^185</f>
        <v>297431571.00274336</v>
      </c>
      <c r="I187" s="4">
        <f>SimOpsY1*(1+SimOpsGrowth)^185</f>
        <v>45763161521.638107</v>
      </c>
      <c r="J187" s="4">
        <f>TrainDevY1*(1+TrainDevGrowth)^185</f>
        <v>22881580760.819054</v>
      </c>
      <c r="K187" s="4">
        <f>AdminY1*(1+AdminGrowth)^185</f>
        <v>960760345.4716785</v>
      </c>
      <c r="L187" s="4">
        <f t="shared" si="10"/>
        <v>69902934198.93158</v>
      </c>
      <c r="M187" s="4">
        <f t="shared" si="11"/>
        <v>3357101105106.8154</v>
      </c>
    </row>
    <row r="188" spans="1:13" x14ac:dyDescent="0.2">
      <c r="A188" s="3">
        <f>StartYear+186</f>
        <v>2211</v>
      </c>
      <c r="B188" s="4">
        <f>FacultyFTE*HoursPerWeek*WeeksPerYear*RatePerHour*(1+PracticeGrowth)^186</f>
        <v>2515371377.564868</v>
      </c>
      <c r="C188" s="4">
        <f>StudentsY1*(1+StudentGrowth)^186*CreditsPerStudent*TuitionPerCredit</f>
        <v>15721071109.780426</v>
      </c>
      <c r="D188" s="4">
        <f>SimRevY1*(1+SimGrowth)^186</f>
        <v>2500399732483.8467</v>
      </c>
      <c r="E188" s="4">
        <f>FacDevRevY1*(1+FacDevGrowth)^186</f>
        <v>1250199866241.9233</v>
      </c>
      <c r="F188" s="4">
        <f t="shared" si="8"/>
        <v>3766320669835.5503</v>
      </c>
      <c r="G188" s="4">
        <f t="shared" si="9"/>
        <v>3768836041213.1152</v>
      </c>
      <c r="H188" s="4">
        <f>SalaryFTECount*SalaryPerFTE*(1+SalaryGrowth)^186</f>
        <v>309328833.84285295</v>
      </c>
      <c r="I188" s="4">
        <f>SimOpsY1*(1+SimOpsGrowth)^186</f>
        <v>49424214443.369156</v>
      </c>
      <c r="J188" s="4">
        <f>TrainDevY1*(1+TrainDevGrowth)^186</f>
        <v>24712107221.684578</v>
      </c>
      <c r="K188" s="4">
        <f>AdminY1*(1+AdminGrowth)^186</f>
        <v>1018405966.1999792</v>
      </c>
      <c r="L188" s="4">
        <f t="shared" si="10"/>
        <v>75464056465.096558</v>
      </c>
      <c r="M188" s="4">
        <f t="shared" si="11"/>
        <v>3693371984748.0186</v>
      </c>
    </row>
    <row r="189" spans="1:13" x14ac:dyDescent="0.2">
      <c r="A189" s="3">
        <f>StartYear+187</f>
        <v>2212</v>
      </c>
      <c r="B189" s="4">
        <f>FacultyFTE*HoursPerWeek*WeeksPerYear*RatePerHour*(1+PracticeGrowth)^187</f>
        <v>2641139946.4431114</v>
      </c>
      <c r="C189" s="4">
        <f>StudentsY1*(1+StudentGrowth)^187*CreditsPerStudent*TuitionPerCredit</f>
        <v>16507124665.269447</v>
      </c>
      <c r="D189" s="4">
        <f>SimRevY1*(1+SimGrowth)^187</f>
        <v>2750439705732.2319</v>
      </c>
      <c r="E189" s="4">
        <f>FacDevRevY1*(1+FacDevGrowth)^187</f>
        <v>1375219852866.116</v>
      </c>
      <c r="F189" s="4">
        <f t="shared" si="8"/>
        <v>4142166683263.6172</v>
      </c>
      <c r="G189" s="4">
        <f t="shared" si="9"/>
        <v>4144807823210.0601</v>
      </c>
      <c r="H189" s="4">
        <f>SalaryFTECount*SalaryPerFTE*(1+SalaryGrowth)^187</f>
        <v>321701987.19656712</v>
      </c>
      <c r="I189" s="4">
        <f>SimOpsY1*(1+SimOpsGrowth)^187</f>
        <v>53378151598.838684</v>
      </c>
      <c r="J189" s="4">
        <f>TrainDevY1*(1+TrainDevGrowth)^187</f>
        <v>26689075799.419342</v>
      </c>
      <c r="K189" s="4">
        <f>AdminY1*(1+AdminGrowth)^187</f>
        <v>1079510324.1719782</v>
      </c>
      <c r="L189" s="4">
        <f t="shared" si="10"/>
        <v>81468439709.626572</v>
      </c>
      <c r="M189" s="4">
        <f t="shared" si="11"/>
        <v>4063339383500.4336</v>
      </c>
    </row>
    <row r="190" spans="1:13" x14ac:dyDescent="0.2">
      <c r="A190" s="3">
        <f>StartYear+188</f>
        <v>2213</v>
      </c>
      <c r="B190" s="4">
        <f>FacultyFTE*HoursPerWeek*WeeksPerYear*RatePerHour*(1+PracticeGrowth)^188</f>
        <v>2773196943.7652669</v>
      </c>
      <c r="C190" s="4">
        <f>StudentsY1*(1+StudentGrowth)^188*CreditsPerStudent*TuitionPerCredit</f>
        <v>17332480898.532917</v>
      </c>
      <c r="D190" s="4">
        <f>SimRevY1*(1+SimGrowth)^188</f>
        <v>3025483676305.4546</v>
      </c>
      <c r="E190" s="4">
        <f>FacDevRevY1*(1+FacDevGrowth)^188</f>
        <v>1512741838152.7273</v>
      </c>
      <c r="F190" s="4">
        <f t="shared" si="8"/>
        <v>4555557995356.7148</v>
      </c>
      <c r="G190" s="4">
        <f t="shared" si="9"/>
        <v>4558331192300.4805</v>
      </c>
      <c r="H190" s="4">
        <f>SalaryFTECount*SalaryPerFTE*(1+SalaryGrowth)^188</f>
        <v>334570066.68442988</v>
      </c>
      <c r="I190" s="4">
        <f>SimOpsY1*(1+SimOpsGrowth)^188</f>
        <v>57648403726.745781</v>
      </c>
      <c r="J190" s="4">
        <f>TrainDevY1*(1+TrainDevGrowth)^188</f>
        <v>28824201863.37289</v>
      </c>
      <c r="K190" s="4">
        <f>AdminY1*(1+AdminGrowth)^188</f>
        <v>1144280943.6222968</v>
      </c>
      <c r="L190" s="4">
        <f t="shared" si="10"/>
        <v>87951456600.4254</v>
      </c>
      <c r="M190" s="4">
        <f t="shared" si="11"/>
        <v>4470379735700.0547</v>
      </c>
    </row>
    <row r="191" spans="1:13" x14ac:dyDescent="0.2">
      <c r="A191" s="3">
        <f>StartYear+189</f>
        <v>2214</v>
      </c>
      <c r="B191" s="4">
        <f>FacultyFTE*HoursPerWeek*WeeksPerYear*RatePerHour*(1+PracticeGrowth)^189</f>
        <v>2911856790.9535303</v>
      </c>
      <c r="C191" s="4">
        <f>StudentsY1*(1+StudentGrowth)^189*CreditsPerStudent*TuitionPerCredit</f>
        <v>18199104943.459564</v>
      </c>
      <c r="D191" s="4">
        <f>SimRevY1*(1+SimGrowth)^189</f>
        <v>3328032043936.001</v>
      </c>
      <c r="E191" s="4">
        <f>FacDevRevY1*(1+FacDevGrowth)^189</f>
        <v>1664016021968.0005</v>
      </c>
      <c r="F191" s="4">
        <f t="shared" si="8"/>
        <v>5010247170847.4609</v>
      </c>
      <c r="G191" s="4">
        <f t="shared" si="9"/>
        <v>5013159027638.4141</v>
      </c>
      <c r="H191" s="4">
        <f>SalaryFTECount*SalaryPerFTE*(1+SalaryGrowth)^189</f>
        <v>347952869.35180712</v>
      </c>
      <c r="I191" s="4">
        <f>SimOpsY1*(1+SimOpsGrowth)^189</f>
        <v>62260276024.885445</v>
      </c>
      <c r="J191" s="4">
        <f>TrainDevY1*(1+TrainDevGrowth)^189</f>
        <v>31130138012.442722</v>
      </c>
      <c r="K191" s="4">
        <f>AdminY1*(1+AdminGrowth)^189</f>
        <v>1212937800.2396348</v>
      </c>
      <c r="L191" s="4">
        <f t="shared" si="10"/>
        <v>94951304706.919617</v>
      </c>
      <c r="M191" s="4">
        <f t="shared" si="11"/>
        <v>4918207722931.4941</v>
      </c>
    </row>
    <row r="192" spans="1:13" x14ac:dyDescent="0.2">
      <c r="A192" s="3">
        <f>StartYear+190</f>
        <v>2215</v>
      </c>
      <c r="B192" s="4">
        <f>FacultyFTE*HoursPerWeek*WeeksPerYear*RatePerHour*(1+PracticeGrowth)^190</f>
        <v>3057449630.5012059</v>
      </c>
      <c r="C192" s="4">
        <f>StudentsY1*(1+StudentGrowth)^190*CreditsPerStudent*TuitionPerCredit</f>
        <v>19109060190.632538</v>
      </c>
      <c r="D192" s="4">
        <f>SimRevY1*(1+SimGrowth)^190</f>
        <v>3660835248329.6016</v>
      </c>
      <c r="E192" s="4">
        <f>FacDevRevY1*(1+FacDevGrowth)^190</f>
        <v>1830417624164.8008</v>
      </c>
      <c r="F192" s="4">
        <f t="shared" si="8"/>
        <v>5510361932685.0352</v>
      </c>
      <c r="G192" s="4">
        <f t="shared" si="9"/>
        <v>5513419382315.5361</v>
      </c>
      <c r="H192" s="4">
        <f>SalaryFTECount*SalaryPerFTE*(1+SalaryGrowth)^190</f>
        <v>361870984.12587935</v>
      </c>
      <c r="I192" s="4">
        <f>SimOpsY1*(1+SimOpsGrowth)^190</f>
        <v>67241098106.876297</v>
      </c>
      <c r="J192" s="4">
        <f>TrainDevY1*(1+TrainDevGrowth)^190</f>
        <v>33620549053.438148</v>
      </c>
      <c r="K192" s="4">
        <f>AdminY1*(1+AdminGrowth)^190</f>
        <v>1285714068.2540131</v>
      </c>
      <c r="L192" s="4">
        <f t="shared" si="10"/>
        <v>102509232212.69434</v>
      </c>
      <c r="M192" s="4">
        <f t="shared" si="11"/>
        <v>5410910150102.8418</v>
      </c>
    </row>
    <row r="193" spans="1:13" x14ac:dyDescent="0.2">
      <c r="A193" s="3">
        <f>StartYear+191</f>
        <v>2216</v>
      </c>
      <c r="B193" s="4">
        <f>FacultyFTE*HoursPerWeek*WeeksPerYear*RatePerHour*(1+PracticeGrowth)^191</f>
        <v>3210322112.0262675</v>
      </c>
      <c r="C193" s="4">
        <f>StudentsY1*(1+StudentGrowth)^191*CreditsPerStudent*TuitionPerCredit</f>
        <v>20064513200.164169</v>
      </c>
      <c r="D193" s="4">
        <f>SimRevY1*(1+SimGrowth)^191</f>
        <v>4026918773162.561</v>
      </c>
      <c r="E193" s="4">
        <f>FacDevRevY1*(1+FacDevGrowth)^191</f>
        <v>2013459386581.2805</v>
      </c>
      <c r="F193" s="4">
        <f t="shared" si="8"/>
        <v>6060442672944.0059</v>
      </c>
      <c r="G193" s="4">
        <f t="shared" si="9"/>
        <v>6063652995056.0322</v>
      </c>
      <c r="H193" s="4">
        <f>SalaryFTECount*SalaryPerFTE*(1+SalaryGrowth)^191</f>
        <v>376345823.49091446</v>
      </c>
      <c r="I193" s="4">
        <f>SimOpsY1*(1+SimOpsGrowth)^191</f>
        <v>72620385955.426422</v>
      </c>
      <c r="J193" s="4">
        <f>TrainDevY1*(1+TrainDevGrowth)^191</f>
        <v>36310192977.713211</v>
      </c>
      <c r="K193" s="4">
        <f>AdminY1*(1+AdminGrowth)^191</f>
        <v>1362856912.3492541</v>
      </c>
      <c r="L193" s="4">
        <f t="shared" si="10"/>
        <v>110669781668.97981</v>
      </c>
      <c r="M193" s="4">
        <f t="shared" si="11"/>
        <v>5952983213387.0527</v>
      </c>
    </row>
    <row r="194" spans="1:13" x14ac:dyDescent="0.2">
      <c r="A194" s="3">
        <f>StartYear+192</f>
        <v>2217</v>
      </c>
      <c r="B194" s="4">
        <f>FacultyFTE*HoursPerWeek*WeeksPerYear*RatePerHour*(1+PracticeGrowth)^192</f>
        <v>3370838217.6275806</v>
      </c>
      <c r="C194" s="4">
        <f>StudentsY1*(1+StudentGrowth)^192*CreditsPerStudent*TuitionPerCredit</f>
        <v>21067738860.172382</v>
      </c>
      <c r="D194" s="4">
        <f>SimRevY1*(1+SimGrowth)^192</f>
        <v>4429610650478.8174</v>
      </c>
      <c r="E194" s="4">
        <f>FacDevRevY1*(1+FacDevGrowth)^192</f>
        <v>2214805325239.4087</v>
      </c>
      <c r="F194" s="4">
        <f t="shared" ref="F194:F257" si="12">C194+D194+E194</f>
        <v>6665483714578.3984</v>
      </c>
      <c r="G194" s="4">
        <f t="shared" ref="G194:G257" si="13">B194+F194</f>
        <v>6668854552796.0264</v>
      </c>
      <c r="H194" s="4">
        <f>SalaryFTECount*SalaryPerFTE*(1+SalaryGrowth)^192</f>
        <v>391399656.43055111</v>
      </c>
      <c r="I194" s="4">
        <f>SimOpsY1*(1+SimOpsGrowth)^192</f>
        <v>78430016831.860535</v>
      </c>
      <c r="J194" s="4">
        <f>TrainDevY1*(1+TrainDevGrowth)^192</f>
        <v>39215008415.930267</v>
      </c>
      <c r="K194" s="4">
        <f>AdminY1*(1+AdminGrowth)^192</f>
        <v>1444628327.0902088</v>
      </c>
      <c r="L194" s="4">
        <f t="shared" ref="L194:L257" si="14">SUM(H194:K194)</f>
        <v>119481053231.31157</v>
      </c>
      <c r="M194" s="4">
        <f t="shared" ref="M194:M257" si="15">G194-L194</f>
        <v>6549373499564.7148</v>
      </c>
    </row>
    <row r="195" spans="1:13" x14ac:dyDescent="0.2">
      <c r="A195" s="3">
        <f>StartYear+193</f>
        <v>2218</v>
      </c>
      <c r="B195" s="4">
        <f>FacultyFTE*HoursPerWeek*WeeksPerYear*RatePerHour*(1+PracticeGrowth)^193</f>
        <v>3539380128.5089598</v>
      </c>
      <c r="C195" s="4">
        <f>StudentsY1*(1+StudentGrowth)^193*CreditsPerStudent*TuitionPerCredit</f>
        <v>22121125803.181</v>
      </c>
      <c r="D195" s="4">
        <f>SimRevY1*(1+SimGrowth)^193</f>
        <v>4872571715526.7002</v>
      </c>
      <c r="E195" s="4">
        <f>FacDevRevY1*(1+FacDevGrowth)^193</f>
        <v>2436285857763.3501</v>
      </c>
      <c r="F195" s="4">
        <f t="shared" si="12"/>
        <v>7330978699093.2305</v>
      </c>
      <c r="G195" s="4">
        <f t="shared" si="13"/>
        <v>7334518079221.7393</v>
      </c>
      <c r="H195" s="4">
        <f>SalaryFTECount*SalaryPerFTE*(1+SalaryGrowth)^193</f>
        <v>407055642.68777323</v>
      </c>
      <c r="I195" s="4">
        <f>SimOpsY1*(1+SimOpsGrowth)^193</f>
        <v>84704418178.409378</v>
      </c>
      <c r="J195" s="4">
        <f>TrainDevY1*(1+TrainDevGrowth)^193</f>
        <v>42352209089.204689</v>
      </c>
      <c r="K195" s="4">
        <f>AdminY1*(1+AdminGrowth)^193</f>
        <v>1531306026.7156215</v>
      </c>
      <c r="L195" s="4">
        <f t="shared" si="14"/>
        <v>128994988937.01747</v>
      </c>
      <c r="M195" s="4">
        <f t="shared" si="15"/>
        <v>7205523090284.7217</v>
      </c>
    </row>
    <row r="196" spans="1:13" x14ac:dyDescent="0.2">
      <c r="A196" s="3">
        <f>StartYear+194</f>
        <v>2219</v>
      </c>
      <c r="B196" s="4">
        <f>FacultyFTE*HoursPerWeek*WeeksPerYear*RatePerHour*(1+PracticeGrowth)^194</f>
        <v>3716349134.9344077</v>
      </c>
      <c r="C196" s="4">
        <f>StudentsY1*(1+StudentGrowth)^194*CreditsPerStudent*TuitionPerCredit</f>
        <v>23227182093.340046</v>
      </c>
      <c r="D196" s="4">
        <f>SimRevY1*(1+SimGrowth)^194</f>
        <v>5359828887079.3701</v>
      </c>
      <c r="E196" s="4">
        <f>FacDevRevY1*(1+FacDevGrowth)^194</f>
        <v>2679914443539.6851</v>
      </c>
      <c r="F196" s="4">
        <f t="shared" si="12"/>
        <v>8062970512712.3945</v>
      </c>
      <c r="G196" s="4">
        <f t="shared" si="13"/>
        <v>8066686861847.3291</v>
      </c>
      <c r="H196" s="4">
        <f>SalaryFTECount*SalaryPerFTE*(1+SalaryGrowth)^194</f>
        <v>423337868.39528418</v>
      </c>
      <c r="I196" s="4">
        <f>SimOpsY1*(1+SimOpsGrowth)^194</f>
        <v>91480771632.682129</v>
      </c>
      <c r="J196" s="4">
        <f>TrainDevY1*(1+TrainDevGrowth)^194</f>
        <v>45740385816.341064</v>
      </c>
      <c r="K196" s="4">
        <f>AdminY1*(1+AdminGrowth)^194</f>
        <v>1623184388.3185589</v>
      </c>
      <c r="L196" s="4">
        <f t="shared" si="14"/>
        <v>139267679705.73703</v>
      </c>
      <c r="M196" s="4">
        <f t="shared" si="15"/>
        <v>7927419182141.5918</v>
      </c>
    </row>
    <row r="197" spans="1:13" x14ac:dyDescent="0.2">
      <c r="A197" s="3">
        <f>StartYear+195</f>
        <v>2220</v>
      </c>
      <c r="B197" s="4">
        <f>FacultyFTE*HoursPerWeek*WeeksPerYear*RatePerHour*(1+PracticeGrowth)^195</f>
        <v>3902166591.6811285</v>
      </c>
      <c r="C197" s="4">
        <f>StudentsY1*(1+StudentGrowth)^195*CreditsPerStudent*TuitionPerCredit</f>
        <v>24388541198.007053</v>
      </c>
      <c r="D197" s="4">
        <f>SimRevY1*(1+SimGrowth)^195</f>
        <v>5895811775787.3086</v>
      </c>
      <c r="E197" s="4">
        <f>FacDevRevY1*(1+FacDevGrowth)^195</f>
        <v>2947905887893.6543</v>
      </c>
      <c r="F197" s="4">
        <f t="shared" si="12"/>
        <v>8868106204878.9688</v>
      </c>
      <c r="G197" s="4">
        <f t="shared" si="13"/>
        <v>8872008371470.6504</v>
      </c>
      <c r="H197" s="4">
        <f>SalaryFTECount*SalaryPerFTE*(1+SalaryGrowth)^195</f>
        <v>440271383.13109547</v>
      </c>
      <c r="I197" s="4">
        <f>SimOpsY1*(1+SimOpsGrowth)^195</f>
        <v>98799233363.296707</v>
      </c>
      <c r="J197" s="4">
        <f>TrainDevY1*(1+TrainDevGrowth)^195</f>
        <v>49399616681.648354</v>
      </c>
      <c r="K197" s="4">
        <f>AdminY1*(1+AdminGrowth)^195</f>
        <v>1720575451.6176724</v>
      </c>
      <c r="L197" s="4">
        <f t="shared" si="14"/>
        <v>150359696879.69382</v>
      </c>
      <c r="M197" s="4">
        <f t="shared" si="15"/>
        <v>8721648674590.957</v>
      </c>
    </row>
    <row r="198" spans="1:13" x14ac:dyDescent="0.2">
      <c r="A198" s="3">
        <f>StartYear+196</f>
        <v>2221</v>
      </c>
      <c r="B198" s="4">
        <f>FacultyFTE*HoursPerWeek*WeeksPerYear*RatePerHour*(1+PracticeGrowth)^196</f>
        <v>4097274921.2651849</v>
      </c>
      <c r="C198" s="4">
        <f>StudentsY1*(1+StudentGrowth)^196*CreditsPerStudent*TuitionPerCredit</f>
        <v>25607968257.907406</v>
      </c>
      <c r="D198" s="4">
        <f>SimRevY1*(1+SimGrowth)^196</f>
        <v>6485392953366.0391</v>
      </c>
      <c r="E198" s="4">
        <f>FacDevRevY1*(1+FacDevGrowth)^196</f>
        <v>3242696476683.0195</v>
      </c>
      <c r="F198" s="4">
        <f t="shared" si="12"/>
        <v>9753697398306.9648</v>
      </c>
      <c r="G198" s="4">
        <f t="shared" si="13"/>
        <v>9757794673228.2305</v>
      </c>
      <c r="H198" s="4">
        <f>SalaryFTECount*SalaryPerFTE*(1+SalaryGrowth)^196</f>
        <v>457882238.4563393</v>
      </c>
      <c r="I198" s="4">
        <f>SimOpsY1*(1+SimOpsGrowth)^196</f>
        <v>106703172032.36044</v>
      </c>
      <c r="J198" s="4">
        <f>TrainDevY1*(1+TrainDevGrowth)^196</f>
        <v>53351586016.180222</v>
      </c>
      <c r="K198" s="4">
        <f>AdminY1*(1+AdminGrowth)^196</f>
        <v>1823809978.7147331</v>
      </c>
      <c r="L198" s="4">
        <f t="shared" si="14"/>
        <v>162336450265.71173</v>
      </c>
      <c r="M198" s="4">
        <f t="shared" si="15"/>
        <v>9595458222962.5195</v>
      </c>
    </row>
    <row r="199" spans="1:13" x14ac:dyDescent="0.2">
      <c r="A199" s="3">
        <f>StartYear+197</f>
        <v>2222</v>
      </c>
      <c r="B199" s="4">
        <f>FacultyFTE*HoursPerWeek*WeeksPerYear*RatePerHour*(1+PracticeGrowth)^197</f>
        <v>4302138667.3284445</v>
      </c>
      <c r="C199" s="4">
        <f>StudentsY1*(1+StudentGrowth)^197*CreditsPerStudent*TuitionPerCredit</f>
        <v>26888366670.802773</v>
      </c>
      <c r="D199" s="4">
        <f>SimRevY1*(1+SimGrowth)^197</f>
        <v>7133932248702.6436</v>
      </c>
      <c r="E199" s="4">
        <f>FacDevRevY1*(1+FacDevGrowth)^197</f>
        <v>3566966124351.3218</v>
      </c>
      <c r="F199" s="4">
        <f t="shared" si="12"/>
        <v>10727786739724.768</v>
      </c>
      <c r="G199" s="4">
        <f t="shared" si="13"/>
        <v>10732088878392.096</v>
      </c>
      <c r="H199" s="4">
        <f>SalaryFTECount*SalaryPerFTE*(1+SalaryGrowth)^197</f>
        <v>476197527.99459296</v>
      </c>
      <c r="I199" s="4">
        <f>SimOpsY1*(1+SimOpsGrowth)^197</f>
        <v>115239425794.94928</v>
      </c>
      <c r="J199" s="4">
        <f>TrainDevY1*(1+TrainDevGrowth)^197</f>
        <v>57619712897.47464</v>
      </c>
      <c r="K199" s="4">
        <f>AdminY1*(1+AdminGrowth)^197</f>
        <v>1933238577.4376171</v>
      </c>
      <c r="L199" s="4">
        <f t="shared" si="14"/>
        <v>175268574797.85614</v>
      </c>
      <c r="M199" s="4">
        <f t="shared" si="15"/>
        <v>10556820303594.24</v>
      </c>
    </row>
    <row r="200" spans="1:13" x14ac:dyDescent="0.2">
      <c r="A200" s="3">
        <f>StartYear+198</f>
        <v>2223</v>
      </c>
      <c r="B200" s="4">
        <f>FacultyFTE*HoursPerWeek*WeeksPerYear*RatePerHour*(1+PracticeGrowth)^198</f>
        <v>4517245600.6948662</v>
      </c>
      <c r="C200" s="4">
        <f>StudentsY1*(1+StudentGrowth)^198*CreditsPerStudent*TuitionPerCredit</f>
        <v>28232785004.342915</v>
      </c>
      <c r="D200" s="4">
        <f>SimRevY1*(1+SimGrowth)^198</f>
        <v>7847325473572.9082</v>
      </c>
      <c r="E200" s="4">
        <f>FacDevRevY1*(1+FacDevGrowth)^198</f>
        <v>3923662736786.4541</v>
      </c>
      <c r="F200" s="4">
        <f t="shared" si="12"/>
        <v>11799220995363.705</v>
      </c>
      <c r="G200" s="4">
        <f t="shared" si="13"/>
        <v>11803738240964.4</v>
      </c>
      <c r="H200" s="4">
        <f>SalaryFTECount*SalaryPerFTE*(1+SalaryGrowth)^198</f>
        <v>495245429.11437672</v>
      </c>
      <c r="I200" s="4">
        <f>SimOpsY1*(1+SimOpsGrowth)^198</f>
        <v>124458579858.54524</v>
      </c>
      <c r="J200" s="4">
        <f>TrainDevY1*(1+TrainDevGrowth)^198</f>
        <v>62229289929.272621</v>
      </c>
      <c r="K200" s="4">
        <f>AdminY1*(1+AdminGrowth)^198</f>
        <v>2049232892.0838742</v>
      </c>
      <c r="L200" s="4">
        <f t="shared" si="14"/>
        <v>189232348109.01611</v>
      </c>
      <c r="M200" s="4">
        <f t="shared" si="15"/>
        <v>11614505892855.385</v>
      </c>
    </row>
    <row r="201" spans="1:13" x14ac:dyDescent="0.2">
      <c r="A201" s="3">
        <f>StartYear+199</f>
        <v>2224</v>
      </c>
      <c r="B201" s="4">
        <f>FacultyFTE*HoursPerWeek*WeeksPerYear*RatePerHour*(1+PracticeGrowth)^199</f>
        <v>4743107880.7296104</v>
      </c>
      <c r="C201" s="4">
        <f>StudentsY1*(1+StudentGrowth)^199*CreditsPerStudent*TuitionPerCredit</f>
        <v>29644424254.560062</v>
      </c>
      <c r="D201" s="4">
        <f>SimRevY1*(1+SimGrowth)^199</f>
        <v>8632058020930.2012</v>
      </c>
      <c r="E201" s="4">
        <f>FacDevRevY1*(1+FacDevGrowth)^199</f>
        <v>4316029010465.1006</v>
      </c>
      <c r="F201" s="4">
        <f t="shared" si="12"/>
        <v>12977731455649.863</v>
      </c>
      <c r="G201" s="4">
        <f t="shared" si="13"/>
        <v>12982474563530.594</v>
      </c>
      <c r="H201" s="4">
        <f>SalaryFTECount*SalaryPerFTE*(1+SalaryGrowth)^199</f>
        <v>515055246.2789517</v>
      </c>
      <c r="I201" s="4">
        <f>SimOpsY1*(1+SimOpsGrowth)^199</f>
        <v>134415266247.22887</v>
      </c>
      <c r="J201" s="4">
        <f>TrainDevY1*(1+TrainDevGrowth)^199</f>
        <v>67207633123.614433</v>
      </c>
      <c r="K201" s="4">
        <f>AdminY1*(1+AdminGrowth)^199</f>
        <v>2172186865.6089072</v>
      </c>
      <c r="L201" s="4">
        <f t="shared" si="14"/>
        <v>204310141482.73117</v>
      </c>
      <c r="M201" s="4">
        <f t="shared" si="15"/>
        <v>12778164422047.863</v>
      </c>
    </row>
    <row r="202" spans="1:13" x14ac:dyDescent="0.2">
      <c r="A202" s="3">
        <f>StartYear+200</f>
        <v>2225</v>
      </c>
      <c r="B202" s="4">
        <f>FacultyFTE*HoursPerWeek*WeeksPerYear*RatePerHour*(1+PracticeGrowth)^200</f>
        <v>4980263274.7660904</v>
      </c>
      <c r="C202" s="4">
        <f>StudentsY1*(1+StudentGrowth)^200*CreditsPerStudent*TuitionPerCredit</f>
        <v>31126645467.288063</v>
      </c>
      <c r="D202" s="4">
        <f>SimRevY1*(1+SimGrowth)^200</f>
        <v>9495263823023.2207</v>
      </c>
      <c r="E202" s="4">
        <f>FacDevRevY1*(1+FacDevGrowth)^200</f>
        <v>4747631911511.6104</v>
      </c>
      <c r="F202" s="4">
        <f t="shared" si="12"/>
        <v>14274022380002.117</v>
      </c>
      <c r="G202" s="4">
        <f t="shared" si="13"/>
        <v>14279002643276.883</v>
      </c>
      <c r="H202" s="4">
        <f>SalaryFTECount*SalaryPerFTE*(1+SalaryGrowth)^200</f>
        <v>535657456.13010991</v>
      </c>
      <c r="I202" s="4">
        <f>SimOpsY1*(1+SimOpsGrowth)^200</f>
        <v>145168487547.00717</v>
      </c>
      <c r="J202" s="4">
        <f>TrainDevY1*(1+TrainDevGrowth)^200</f>
        <v>72584243773.503586</v>
      </c>
      <c r="K202" s="4">
        <f>AdminY1*(1+AdminGrowth)^200</f>
        <v>2302518077.5454412</v>
      </c>
      <c r="L202" s="4">
        <f t="shared" si="14"/>
        <v>220590906854.18631</v>
      </c>
      <c r="M202" s="4">
        <f t="shared" si="15"/>
        <v>14058411736422.697</v>
      </c>
    </row>
    <row r="203" spans="1:13" x14ac:dyDescent="0.2">
      <c r="A203" s="3">
        <f>StartYear+201</f>
        <v>2226</v>
      </c>
      <c r="B203" s="4">
        <f>FacultyFTE*HoursPerWeek*WeeksPerYear*RatePerHour*(1+PracticeGrowth)^201</f>
        <v>5229276438.5043945</v>
      </c>
      <c r="C203" s="4">
        <f>StudentsY1*(1+StudentGrowth)^201*CreditsPerStudent*TuitionPerCredit</f>
        <v>32682977740.652466</v>
      </c>
      <c r="D203" s="4">
        <f>SimRevY1*(1+SimGrowth)^201</f>
        <v>10444790205325.543</v>
      </c>
      <c r="E203" s="4">
        <f>FacDevRevY1*(1+FacDevGrowth)^201</f>
        <v>5222395102662.7715</v>
      </c>
      <c r="F203" s="4">
        <f t="shared" si="12"/>
        <v>15699868285728.967</v>
      </c>
      <c r="G203" s="4">
        <f t="shared" si="13"/>
        <v>15705097562167.471</v>
      </c>
      <c r="H203" s="4">
        <f>SalaryFTECount*SalaryPerFTE*(1+SalaryGrowth)^201</f>
        <v>557083754.37531435</v>
      </c>
      <c r="I203" s="4">
        <f>SimOpsY1*(1+SimOpsGrowth)^201</f>
        <v>156781966550.76779</v>
      </c>
      <c r="J203" s="4">
        <f>TrainDevY1*(1+TrainDevGrowth)^201</f>
        <v>78390983275.383896</v>
      </c>
      <c r="K203" s="4">
        <f>AdminY1*(1+AdminGrowth)^201</f>
        <v>2440669162.1981673</v>
      </c>
      <c r="L203" s="4">
        <f t="shared" si="14"/>
        <v>238170702742.72516</v>
      </c>
      <c r="M203" s="4">
        <f t="shared" si="15"/>
        <v>15466926859424.746</v>
      </c>
    </row>
    <row r="204" spans="1:13" x14ac:dyDescent="0.2">
      <c r="A204" s="3">
        <f>StartYear+202</f>
        <v>2227</v>
      </c>
      <c r="B204" s="4">
        <f>FacultyFTE*HoursPerWeek*WeeksPerYear*RatePerHour*(1+PracticeGrowth)^202</f>
        <v>5490740260.4296141</v>
      </c>
      <c r="C204" s="4">
        <f>StudentsY1*(1+StudentGrowth)^202*CreditsPerStudent*TuitionPerCredit</f>
        <v>34317126627.685085</v>
      </c>
      <c r="D204" s="4">
        <f>SimRevY1*(1+SimGrowth)^202</f>
        <v>11489269225858.098</v>
      </c>
      <c r="E204" s="4">
        <f>FacDevRevY1*(1+FacDevGrowth)^202</f>
        <v>5744634612929.0488</v>
      </c>
      <c r="F204" s="4">
        <f t="shared" si="12"/>
        <v>17268220965414.832</v>
      </c>
      <c r="G204" s="4">
        <f t="shared" si="13"/>
        <v>17273711705675.262</v>
      </c>
      <c r="H204" s="4">
        <f>SalaryFTECount*SalaryPerFTE*(1+SalaryGrowth)^202</f>
        <v>579367104.55032694</v>
      </c>
      <c r="I204" s="4">
        <f>SimOpsY1*(1+SimOpsGrowth)^202</f>
        <v>169324523874.82919</v>
      </c>
      <c r="J204" s="4">
        <f>TrainDevY1*(1+TrainDevGrowth)^202</f>
        <v>84662261937.414597</v>
      </c>
      <c r="K204" s="4">
        <f>AdminY1*(1+AdminGrowth)^202</f>
        <v>2587109311.930058</v>
      </c>
      <c r="L204" s="4">
        <f t="shared" si="14"/>
        <v>257153262228.72418</v>
      </c>
      <c r="M204" s="4">
        <f t="shared" si="15"/>
        <v>17016558443446.537</v>
      </c>
    </row>
    <row r="205" spans="1:13" x14ac:dyDescent="0.2">
      <c r="A205" s="3">
        <f>StartYear+203</f>
        <v>2228</v>
      </c>
      <c r="B205" s="4">
        <f>FacultyFTE*HoursPerWeek*WeeksPerYear*RatePerHour*(1+PracticeGrowth)^203</f>
        <v>5765277273.4510956</v>
      </c>
      <c r="C205" s="4">
        <f>StudentsY1*(1+StudentGrowth)^203*CreditsPerStudent*TuitionPerCredit</f>
        <v>36032982959.069344</v>
      </c>
      <c r="D205" s="4">
        <f>SimRevY1*(1+SimGrowth)^203</f>
        <v>12638196148443.908</v>
      </c>
      <c r="E205" s="4">
        <f>FacDevRevY1*(1+FacDevGrowth)^203</f>
        <v>6319098074221.9541</v>
      </c>
      <c r="F205" s="4">
        <f t="shared" si="12"/>
        <v>18993327205624.934</v>
      </c>
      <c r="G205" s="4">
        <f t="shared" si="13"/>
        <v>18999092482898.383</v>
      </c>
      <c r="H205" s="4">
        <f>SalaryFTECount*SalaryPerFTE*(1+SalaryGrowth)^203</f>
        <v>602541788.73233998</v>
      </c>
      <c r="I205" s="4">
        <f>SimOpsY1*(1+SimOpsGrowth)^203</f>
        <v>182870485784.81555</v>
      </c>
      <c r="J205" s="4">
        <f>TrainDevY1*(1+TrainDevGrowth)^203</f>
        <v>91435242892.407776</v>
      </c>
      <c r="K205" s="4">
        <f>AdminY1*(1+AdminGrowth)^203</f>
        <v>2742335870.6458616</v>
      </c>
      <c r="L205" s="4">
        <f t="shared" si="14"/>
        <v>277650606336.60156</v>
      </c>
      <c r="M205" s="4">
        <f t="shared" si="15"/>
        <v>18721441876561.781</v>
      </c>
    </row>
    <row r="206" spans="1:13" x14ac:dyDescent="0.2">
      <c r="A206" s="3">
        <f>StartYear+204</f>
        <v>2229</v>
      </c>
      <c r="B206" s="4">
        <f>FacultyFTE*HoursPerWeek*WeeksPerYear*RatePerHour*(1+PracticeGrowth)^204</f>
        <v>6053541137.1236496</v>
      </c>
      <c r="C206" s="4">
        <f>StudentsY1*(1+StudentGrowth)^204*CreditsPerStudent*TuitionPerCredit</f>
        <v>37834632107.022804</v>
      </c>
      <c r="D206" s="4">
        <f>SimRevY1*(1+SimGrowth)^204</f>
        <v>13902015763288.299</v>
      </c>
      <c r="E206" s="4">
        <f>FacDevRevY1*(1+FacDevGrowth)^204</f>
        <v>6951007881644.1494</v>
      </c>
      <c r="F206" s="4">
        <f t="shared" si="12"/>
        <v>20890858277039.473</v>
      </c>
      <c r="G206" s="4">
        <f t="shared" si="13"/>
        <v>20896911818176.598</v>
      </c>
      <c r="H206" s="4">
        <f>SalaryFTECount*SalaryPerFTE*(1+SalaryGrowth)^204</f>
        <v>626643460.28163362</v>
      </c>
      <c r="I206" s="4">
        <f>SimOpsY1*(1+SimOpsGrowth)^204</f>
        <v>197500124647.6008</v>
      </c>
      <c r="J206" s="4">
        <f>TrainDevY1*(1+TrainDevGrowth)^204</f>
        <v>98750062323.8004</v>
      </c>
      <c r="K206" s="4">
        <f>AdminY1*(1+AdminGrowth)^204</f>
        <v>2906876022.8846135</v>
      </c>
      <c r="L206" s="4">
        <f t="shared" si="14"/>
        <v>299783706454.5675</v>
      </c>
      <c r="M206" s="4">
        <f t="shared" si="15"/>
        <v>20597128111722.031</v>
      </c>
    </row>
    <row r="207" spans="1:13" x14ac:dyDescent="0.2">
      <c r="A207" s="3">
        <f>StartYear+205</f>
        <v>2230</v>
      </c>
      <c r="B207" s="4">
        <f>FacultyFTE*HoursPerWeek*WeeksPerYear*RatePerHour*(1+PracticeGrowth)^205</f>
        <v>6356218193.9798336</v>
      </c>
      <c r="C207" s="4">
        <f>StudentsY1*(1+StudentGrowth)^205*CreditsPerStudent*TuitionPerCredit</f>
        <v>39726363712.373955</v>
      </c>
      <c r="D207" s="4">
        <f>SimRevY1*(1+SimGrowth)^205</f>
        <v>15292217339617.131</v>
      </c>
      <c r="E207" s="4">
        <f>FacDevRevY1*(1+FacDevGrowth)^205</f>
        <v>7646108669808.5654</v>
      </c>
      <c r="F207" s="4">
        <f t="shared" si="12"/>
        <v>22978052373138.07</v>
      </c>
      <c r="G207" s="4">
        <f t="shared" si="13"/>
        <v>22984408591332.051</v>
      </c>
      <c r="H207" s="4">
        <f>SalaryFTECount*SalaryPerFTE*(1+SalaryGrowth)^205</f>
        <v>651709198.69289899</v>
      </c>
      <c r="I207" s="4">
        <f>SimOpsY1*(1+SimOpsGrowth)^205</f>
        <v>213300134619.40881</v>
      </c>
      <c r="J207" s="4">
        <f>TrainDevY1*(1+TrainDevGrowth)^205</f>
        <v>106650067309.70441</v>
      </c>
      <c r="K207" s="4">
        <f>AdminY1*(1+AdminGrowth)^205</f>
        <v>3081288584.2576909</v>
      </c>
      <c r="L207" s="4">
        <f t="shared" si="14"/>
        <v>323683199712.06384</v>
      </c>
      <c r="M207" s="4">
        <f t="shared" si="15"/>
        <v>22660725391619.988</v>
      </c>
    </row>
    <row r="208" spans="1:13" x14ac:dyDescent="0.2">
      <c r="A208" s="3">
        <f>StartYear+206</f>
        <v>2231</v>
      </c>
      <c r="B208" s="4">
        <f>FacultyFTE*HoursPerWeek*WeeksPerYear*RatePerHour*(1+PracticeGrowth)^206</f>
        <v>6674029103.6788225</v>
      </c>
      <c r="C208" s="4">
        <f>StudentsY1*(1+StudentGrowth)^206*CreditsPerStudent*TuitionPerCredit</f>
        <v>41712681897.992645</v>
      </c>
      <c r="D208" s="4">
        <f>SimRevY1*(1+SimGrowth)^206</f>
        <v>16821439073578.846</v>
      </c>
      <c r="E208" s="4">
        <f>FacDevRevY1*(1+FacDevGrowth)^206</f>
        <v>8410719536789.4229</v>
      </c>
      <c r="F208" s="4">
        <f t="shared" si="12"/>
        <v>25273871292266.262</v>
      </c>
      <c r="G208" s="4">
        <f t="shared" si="13"/>
        <v>25280545321369.941</v>
      </c>
      <c r="H208" s="4">
        <f>SalaryFTECount*SalaryPerFTE*(1+SalaryGrowth)^206</f>
        <v>677777566.64061499</v>
      </c>
      <c r="I208" s="4">
        <f>SimOpsY1*(1+SimOpsGrowth)^206</f>
        <v>230364145388.96158</v>
      </c>
      <c r="J208" s="4">
        <f>TrainDevY1*(1+TrainDevGrowth)^206</f>
        <v>115182072694.48079</v>
      </c>
      <c r="K208" s="4">
        <f>AdminY1*(1+AdminGrowth)^206</f>
        <v>3266165899.3131523</v>
      </c>
      <c r="L208" s="4">
        <f t="shared" si="14"/>
        <v>349490161549.39618</v>
      </c>
      <c r="M208" s="4">
        <f t="shared" si="15"/>
        <v>24931055159820.547</v>
      </c>
    </row>
    <row r="209" spans="1:13" x14ac:dyDescent="0.2">
      <c r="A209" s="3">
        <f>StartYear+207</f>
        <v>2232</v>
      </c>
      <c r="B209" s="4">
        <f>FacultyFTE*HoursPerWeek*WeeksPerYear*RatePerHour*(1+PracticeGrowth)^207</f>
        <v>7007730558.8627663</v>
      </c>
      <c r="C209" s="4">
        <f>StudentsY1*(1+StudentGrowth)^207*CreditsPerStudent*TuitionPerCredit</f>
        <v>43798315992.892288</v>
      </c>
      <c r="D209" s="4">
        <f>SimRevY1*(1+SimGrowth)^207</f>
        <v>18503582980936.73</v>
      </c>
      <c r="E209" s="4">
        <f>FacDevRevY1*(1+FacDevGrowth)^207</f>
        <v>9251791490468.3652</v>
      </c>
      <c r="F209" s="4">
        <f t="shared" si="12"/>
        <v>27799172787397.984</v>
      </c>
      <c r="G209" s="4">
        <f t="shared" si="13"/>
        <v>27806180517956.848</v>
      </c>
      <c r="H209" s="4">
        <f>SalaryFTECount*SalaryPerFTE*(1+SalaryGrowth)^207</f>
        <v>704888669.3062396</v>
      </c>
      <c r="I209" s="4">
        <f>SimOpsY1*(1+SimOpsGrowth)^207</f>
        <v>248793277020.07855</v>
      </c>
      <c r="J209" s="4">
        <f>TrainDevY1*(1+TrainDevGrowth)^207</f>
        <v>124396638510.03928</v>
      </c>
      <c r="K209" s="4">
        <f>AdminY1*(1+AdminGrowth)^207</f>
        <v>3462135853.2719426</v>
      </c>
      <c r="L209" s="4">
        <f t="shared" si="14"/>
        <v>377356940052.69604</v>
      </c>
      <c r="M209" s="4">
        <f t="shared" si="15"/>
        <v>27428823577904.152</v>
      </c>
    </row>
    <row r="210" spans="1:13" x14ac:dyDescent="0.2">
      <c r="A210" s="3">
        <f>StartYear+208</f>
        <v>2233</v>
      </c>
      <c r="B210" s="4">
        <f>FacultyFTE*HoursPerWeek*WeeksPerYear*RatePerHour*(1+PracticeGrowth)^208</f>
        <v>7358117086.8059044</v>
      </c>
      <c r="C210" s="4">
        <f>StudentsY1*(1+StudentGrowth)^208*CreditsPerStudent*TuitionPerCredit</f>
        <v>45988231792.536903</v>
      </c>
      <c r="D210" s="4">
        <f>SimRevY1*(1+SimGrowth)^208</f>
        <v>20353941279030.406</v>
      </c>
      <c r="E210" s="4">
        <f>FacDevRevY1*(1+FacDevGrowth)^208</f>
        <v>10176970639515.203</v>
      </c>
      <c r="F210" s="4">
        <f t="shared" si="12"/>
        <v>30576900150338.145</v>
      </c>
      <c r="G210" s="4">
        <f t="shared" si="13"/>
        <v>30584258267424.949</v>
      </c>
      <c r="H210" s="4">
        <f>SalaryFTECount*SalaryPerFTE*(1+SalaryGrowth)^208</f>
        <v>733084216.0784893</v>
      </c>
      <c r="I210" s="4">
        <f>SimOpsY1*(1+SimOpsGrowth)^208</f>
        <v>268696739181.68478</v>
      </c>
      <c r="J210" s="4">
        <f>TrainDevY1*(1+TrainDevGrowth)^208</f>
        <v>134348369590.84239</v>
      </c>
      <c r="K210" s="4">
        <f>AdminY1*(1+AdminGrowth)^208</f>
        <v>3669864004.4682579</v>
      </c>
      <c r="L210" s="4">
        <f t="shared" si="14"/>
        <v>407448056993.07391</v>
      </c>
      <c r="M210" s="4">
        <f t="shared" si="15"/>
        <v>30176810210431.875</v>
      </c>
    </row>
    <row r="211" spans="1:13" x14ac:dyDescent="0.2">
      <c r="A211" s="3">
        <f>StartYear+209</f>
        <v>2234</v>
      </c>
      <c r="B211" s="4">
        <f>FacultyFTE*HoursPerWeek*WeeksPerYear*RatePerHour*(1+PracticeGrowth)^209</f>
        <v>7726022941.1462011</v>
      </c>
      <c r="C211" s="4">
        <f>StudentsY1*(1+StudentGrowth)^209*CreditsPerStudent*TuitionPerCredit</f>
        <v>48287643382.163757</v>
      </c>
      <c r="D211" s="4">
        <f>SimRevY1*(1+SimGrowth)^209</f>
        <v>22389335406933.445</v>
      </c>
      <c r="E211" s="4">
        <f>FacDevRevY1*(1+FacDevGrowth)^209</f>
        <v>11194667703466.723</v>
      </c>
      <c r="F211" s="4">
        <f t="shared" si="12"/>
        <v>33632290753782.332</v>
      </c>
      <c r="G211" s="4">
        <f t="shared" si="13"/>
        <v>33640016776723.477</v>
      </c>
      <c r="H211" s="4">
        <f>SalaryFTECount*SalaryPerFTE*(1+SalaryGrowth)^209</f>
        <v>762407584.72162879</v>
      </c>
      <c r="I211" s="4">
        <f>SimOpsY1*(1+SimOpsGrowth)^209</f>
        <v>290192478316.2196</v>
      </c>
      <c r="J211" s="4">
        <f>TrainDevY1*(1+TrainDevGrowth)^209</f>
        <v>145096239158.1098</v>
      </c>
      <c r="K211" s="4">
        <f>AdminY1*(1+AdminGrowth)^209</f>
        <v>3890055844.7363544</v>
      </c>
      <c r="L211" s="4">
        <f t="shared" si="14"/>
        <v>439941180903.78735</v>
      </c>
      <c r="M211" s="4">
        <f t="shared" si="15"/>
        <v>33200075595819.688</v>
      </c>
    </row>
    <row r="212" spans="1:13" x14ac:dyDescent="0.2">
      <c r="A212" s="3">
        <f>StartYear+210</f>
        <v>2235</v>
      </c>
      <c r="B212" s="4">
        <f>FacultyFTE*HoursPerWeek*WeeksPerYear*RatePerHour*(1+PracticeGrowth)^210</f>
        <v>8112324088.2035103</v>
      </c>
      <c r="C212" s="4">
        <f>StudentsY1*(1+StudentGrowth)^210*CreditsPerStudent*TuitionPerCredit</f>
        <v>50702025551.271942</v>
      </c>
      <c r="D212" s="4">
        <f>SimRevY1*(1+SimGrowth)^210</f>
        <v>24628268947626.789</v>
      </c>
      <c r="E212" s="4">
        <f>FacDevRevY1*(1+FacDevGrowth)^210</f>
        <v>12314134473813.395</v>
      </c>
      <c r="F212" s="4">
        <f t="shared" si="12"/>
        <v>36993105446991.453</v>
      </c>
      <c r="G212" s="4">
        <f t="shared" si="13"/>
        <v>37001217771079.656</v>
      </c>
      <c r="H212" s="4">
        <f>SalaryFTECount*SalaryPerFTE*(1+SalaryGrowth)^210</f>
        <v>792903888.11049402</v>
      </c>
      <c r="I212" s="4">
        <f>SimOpsY1*(1+SimOpsGrowth)^210</f>
        <v>313407876581.51721</v>
      </c>
      <c r="J212" s="4">
        <f>TrainDevY1*(1+TrainDevGrowth)^210</f>
        <v>156703938290.75861</v>
      </c>
      <c r="K212" s="4">
        <f>AdminY1*(1+AdminGrowth)^210</f>
        <v>4123459195.4205346</v>
      </c>
      <c r="L212" s="4">
        <f t="shared" si="14"/>
        <v>475028177955.80682</v>
      </c>
      <c r="M212" s="4">
        <f t="shared" si="15"/>
        <v>36526189593123.852</v>
      </c>
    </row>
    <row r="213" spans="1:13" x14ac:dyDescent="0.2">
      <c r="A213" s="3">
        <f>StartYear+211</f>
        <v>2236</v>
      </c>
      <c r="B213" s="4">
        <f>FacultyFTE*HoursPerWeek*WeeksPerYear*RatePerHour*(1+PracticeGrowth)^211</f>
        <v>8517940292.6136856</v>
      </c>
      <c r="C213" s="4">
        <f>StudentsY1*(1+StudentGrowth)^211*CreditsPerStudent*TuitionPerCredit</f>
        <v>53237126828.835526</v>
      </c>
      <c r="D213" s="4">
        <f>SimRevY1*(1+SimGrowth)^211</f>
        <v>27091095842389.48</v>
      </c>
      <c r="E213" s="4">
        <f>FacDevRevY1*(1+FacDevGrowth)^211</f>
        <v>13545547921194.74</v>
      </c>
      <c r="F213" s="4">
        <f t="shared" si="12"/>
        <v>40689880890413.055</v>
      </c>
      <c r="G213" s="4">
        <f t="shared" si="13"/>
        <v>40698398830705.672</v>
      </c>
      <c r="H213" s="4">
        <f>SalaryFTECount*SalaryPerFTE*(1+SalaryGrowth)^211</f>
        <v>824620043.6349138</v>
      </c>
      <c r="I213" s="4">
        <f>SimOpsY1*(1+SimOpsGrowth)^211</f>
        <v>338480506708.03864</v>
      </c>
      <c r="J213" s="4">
        <f>TrainDevY1*(1+TrainDevGrowth)^211</f>
        <v>169240253354.01932</v>
      </c>
      <c r="K213" s="4">
        <f>AdminY1*(1+AdminGrowth)^211</f>
        <v>4370866747.1457672</v>
      </c>
      <c r="L213" s="4">
        <f t="shared" si="14"/>
        <v>512916246852.83862</v>
      </c>
      <c r="M213" s="4">
        <f t="shared" si="15"/>
        <v>40185482583852.836</v>
      </c>
    </row>
    <row r="214" spans="1:13" x14ac:dyDescent="0.2">
      <c r="A214" s="3">
        <f>StartYear+212</f>
        <v>2237</v>
      </c>
      <c r="B214" s="4">
        <f>FacultyFTE*HoursPerWeek*WeeksPerYear*RatePerHour*(1+PracticeGrowth)^212</f>
        <v>8943837307.2443695</v>
      </c>
      <c r="C214" s="4">
        <f>StudentsY1*(1+StudentGrowth)^212*CreditsPerStudent*TuitionPerCredit</f>
        <v>55898983170.277306</v>
      </c>
      <c r="D214" s="4">
        <f>SimRevY1*(1+SimGrowth)^212</f>
        <v>29800205426628.422</v>
      </c>
      <c r="E214" s="4">
        <f>FacDevRevY1*(1+FacDevGrowth)^212</f>
        <v>14900102713314.211</v>
      </c>
      <c r="F214" s="4">
        <f t="shared" si="12"/>
        <v>44756207123112.906</v>
      </c>
      <c r="G214" s="4">
        <f t="shared" si="13"/>
        <v>44765150960420.148</v>
      </c>
      <c r="H214" s="4">
        <f>SalaryFTECount*SalaryPerFTE*(1+SalaryGrowth)^212</f>
        <v>857604845.38031042</v>
      </c>
      <c r="I214" s="4">
        <f>SimOpsY1*(1+SimOpsGrowth)^212</f>
        <v>365558947244.6817</v>
      </c>
      <c r="J214" s="4">
        <f>TrainDevY1*(1+TrainDevGrowth)^212</f>
        <v>182779473622.34085</v>
      </c>
      <c r="K214" s="4">
        <f>AdminY1*(1+AdminGrowth)^212</f>
        <v>4633118751.9745131</v>
      </c>
      <c r="L214" s="4">
        <f t="shared" si="14"/>
        <v>553829144464.37732</v>
      </c>
      <c r="M214" s="4">
        <f t="shared" si="15"/>
        <v>44211321815955.773</v>
      </c>
    </row>
    <row r="215" spans="1:13" x14ac:dyDescent="0.2">
      <c r="A215" s="3">
        <f>StartYear+213</f>
        <v>2238</v>
      </c>
      <c r="B215" s="4">
        <f>FacultyFTE*HoursPerWeek*WeeksPerYear*RatePerHour*(1+PracticeGrowth)^213</f>
        <v>9391029172.6065884</v>
      </c>
      <c r="C215" s="4">
        <f>StudentsY1*(1+StudentGrowth)^213*CreditsPerStudent*TuitionPerCredit</f>
        <v>58693932328.791168</v>
      </c>
      <c r="D215" s="4">
        <f>SimRevY1*(1+SimGrowth)^213</f>
        <v>32780225969291.27</v>
      </c>
      <c r="E215" s="4">
        <f>FacDevRevY1*(1+FacDevGrowth)^213</f>
        <v>16390112984645.635</v>
      </c>
      <c r="F215" s="4">
        <f t="shared" si="12"/>
        <v>49229032886265.695</v>
      </c>
      <c r="G215" s="4">
        <f t="shared" si="13"/>
        <v>49238423915438.305</v>
      </c>
      <c r="H215" s="4">
        <f>SalaryFTECount*SalaryPerFTE*(1+SalaryGrowth)^213</f>
        <v>891909039.19552302</v>
      </c>
      <c r="I215" s="4">
        <f>SimOpsY1*(1+SimOpsGrowth)^213</f>
        <v>394803663024.25629</v>
      </c>
      <c r="J215" s="4">
        <f>TrainDevY1*(1+TrainDevGrowth)^213</f>
        <v>197401831512.12814</v>
      </c>
      <c r="K215" s="4">
        <f>AdminY1*(1+AdminGrowth)^213</f>
        <v>4911105877.0929852</v>
      </c>
      <c r="L215" s="4">
        <f t="shared" si="14"/>
        <v>598008509452.67297</v>
      </c>
      <c r="M215" s="4">
        <f t="shared" si="15"/>
        <v>48640415405985.633</v>
      </c>
    </row>
    <row r="216" spans="1:13" x14ac:dyDescent="0.2">
      <c r="A216" s="3">
        <f>StartYear+214</f>
        <v>2239</v>
      </c>
      <c r="B216" s="4">
        <f>FacultyFTE*HoursPerWeek*WeeksPerYear*RatePerHour*(1+PracticeGrowth)^214</f>
        <v>9860580631.2369156</v>
      </c>
      <c r="C216" s="4">
        <f>StudentsY1*(1+StudentGrowth)^214*CreditsPerStudent*TuitionPerCredit</f>
        <v>61628628945.230728</v>
      </c>
      <c r="D216" s="4">
        <f>SimRevY1*(1+SimGrowth)^214</f>
        <v>36058248566220.406</v>
      </c>
      <c r="E216" s="4">
        <f>FacDevRevY1*(1+FacDevGrowth)^214</f>
        <v>18029124283110.203</v>
      </c>
      <c r="F216" s="4">
        <f t="shared" si="12"/>
        <v>54149001478275.844</v>
      </c>
      <c r="G216" s="4">
        <f t="shared" si="13"/>
        <v>54158862058907.078</v>
      </c>
      <c r="H216" s="4">
        <f>SalaryFTECount*SalaryPerFTE*(1+SalaryGrowth)^214</f>
        <v>927585400.76334405</v>
      </c>
      <c r="I216" s="4">
        <f>SimOpsY1*(1+SimOpsGrowth)^214</f>
        <v>426387956066.19678</v>
      </c>
      <c r="J216" s="4">
        <f>TrainDevY1*(1+TrainDevGrowth)^214</f>
        <v>213193978033.09839</v>
      </c>
      <c r="K216" s="4">
        <f>AdminY1*(1+AdminGrowth)^214</f>
        <v>5205772229.718565</v>
      </c>
      <c r="L216" s="4">
        <f t="shared" si="14"/>
        <v>645715291729.7771</v>
      </c>
      <c r="M216" s="4">
        <f t="shared" si="15"/>
        <v>53513146767177.305</v>
      </c>
    </row>
    <row r="217" spans="1:13" x14ac:dyDescent="0.2">
      <c r="A217" s="3">
        <f>StartYear+215</f>
        <v>2240</v>
      </c>
      <c r="B217" s="4">
        <f>FacultyFTE*HoursPerWeek*WeeksPerYear*RatePerHour*(1+PracticeGrowth)^215</f>
        <v>10353609662.798765</v>
      </c>
      <c r="C217" s="4">
        <f>StudentsY1*(1+StudentGrowth)^215*CreditsPerStudent*TuitionPerCredit</f>
        <v>64710060392.492287</v>
      </c>
      <c r="D217" s="4">
        <f>SimRevY1*(1+SimGrowth)^215</f>
        <v>39664073422842.445</v>
      </c>
      <c r="E217" s="4">
        <f>FacDevRevY1*(1+FacDevGrowth)^215</f>
        <v>19832036711421.223</v>
      </c>
      <c r="F217" s="4">
        <f t="shared" si="12"/>
        <v>59560820194656.156</v>
      </c>
      <c r="G217" s="4">
        <f t="shared" si="13"/>
        <v>59571173804318.953</v>
      </c>
      <c r="H217" s="4">
        <f>SalaryFTECount*SalaryPerFTE*(1+SalaryGrowth)^215</f>
        <v>964688816.79387748</v>
      </c>
      <c r="I217" s="4">
        <f>SimOpsY1*(1+SimOpsGrowth)^215</f>
        <v>460498992551.49255</v>
      </c>
      <c r="J217" s="4">
        <f>TrainDevY1*(1+TrainDevGrowth)^215</f>
        <v>230249496275.74628</v>
      </c>
      <c r="K217" s="4">
        <f>AdminY1*(1+AdminGrowth)^215</f>
        <v>5518118563.5016804</v>
      </c>
      <c r="L217" s="4">
        <f t="shared" si="14"/>
        <v>697231296207.53442</v>
      </c>
      <c r="M217" s="4">
        <f t="shared" si="15"/>
        <v>58873942508111.422</v>
      </c>
    </row>
    <row r="218" spans="1:13" x14ac:dyDescent="0.2">
      <c r="A218" s="3">
        <f>StartYear+216</f>
        <v>2241</v>
      </c>
      <c r="B218" s="4">
        <f>FacultyFTE*HoursPerWeek*WeeksPerYear*RatePerHour*(1+PracticeGrowth)^216</f>
        <v>10871290145.9387</v>
      </c>
      <c r="C218" s="4">
        <f>StudentsY1*(1+StudentGrowth)^216*CreditsPerStudent*TuitionPerCredit</f>
        <v>67945563412.116882</v>
      </c>
      <c r="D218" s="4">
        <f>SimRevY1*(1+SimGrowth)^216</f>
        <v>43630480765126.688</v>
      </c>
      <c r="E218" s="4">
        <f>FacDevRevY1*(1+FacDevGrowth)^216</f>
        <v>21815240382563.344</v>
      </c>
      <c r="F218" s="4">
        <f t="shared" si="12"/>
        <v>65513666711102.148</v>
      </c>
      <c r="G218" s="4">
        <f t="shared" si="13"/>
        <v>65524538001248.086</v>
      </c>
      <c r="H218" s="4">
        <f>SalaryFTECount*SalaryPerFTE*(1+SalaryGrowth)^216</f>
        <v>1003276369.4656328</v>
      </c>
      <c r="I218" s="4">
        <f>SimOpsY1*(1+SimOpsGrowth)^216</f>
        <v>497338911955.612</v>
      </c>
      <c r="J218" s="4">
        <f>TrainDevY1*(1+TrainDevGrowth)^216</f>
        <v>248669455977.806</v>
      </c>
      <c r="K218" s="4">
        <f>AdminY1*(1+AdminGrowth)^216</f>
        <v>5849205677.311779</v>
      </c>
      <c r="L218" s="4">
        <f t="shared" si="14"/>
        <v>752860849980.19543</v>
      </c>
      <c r="M218" s="4">
        <f t="shared" si="15"/>
        <v>64771677151267.891</v>
      </c>
    </row>
    <row r="219" spans="1:13" x14ac:dyDescent="0.2">
      <c r="A219" s="3">
        <f>StartYear+217</f>
        <v>2242</v>
      </c>
      <c r="B219" s="4">
        <f>FacultyFTE*HoursPerWeek*WeeksPerYear*RatePerHour*(1+PracticeGrowth)^217</f>
        <v>11414854653.235638</v>
      </c>
      <c r="C219" s="4">
        <f>StudentsY1*(1+StudentGrowth)^217*CreditsPerStudent*TuitionPerCredit</f>
        <v>71342841582.722733</v>
      </c>
      <c r="D219" s="4">
        <f>SimRevY1*(1+SimGrowth)^217</f>
        <v>47993528841639.367</v>
      </c>
      <c r="E219" s="4">
        <f>FacDevRevY1*(1+FacDevGrowth)^217</f>
        <v>23996764420819.684</v>
      </c>
      <c r="F219" s="4">
        <f t="shared" si="12"/>
        <v>72061636104041.781</v>
      </c>
      <c r="G219" s="4">
        <f t="shared" si="13"/>
        <v>72073050958695.016</v>
      </c>
      <c r="H219" s="4">
        <f>SalaryFTECount*SalaryPerFTE*(1+SalaryGrowth)^217</f>
        <v>1043407424.2442583</v>
      </c>
      <c r="I219" s="4">
        <f>SimOpsY1*(1+SimOpsGrowth)^217</f>
        <v>537126024912.06097</v>
      </c>
      <c r="J219" s="4">
        <f>TrainDevY1*(1+TrainDevGrowth)^217</f>
        <v>268563012456.03049</v>
      </c>
      <c r="K219" s="4">
        <f>AdminY1*(1+AdminGrowth)^217</f>
        <v>6200158017.9504862</v>
      </c>
      <c r="L219" s="4">
        <f t="shared" si="14"/>
        <v>812932602810.28613</v>
      </c>
      <c r="M219" s="4">
        <f t="shared" si="15"/>
        <v>71260118355884.734</v>
      </c>
    </row>
    <row r="220" spans="1:13" x14ac:dyDescent="0.2">
      <c r="A220" s="3">
        <f>StartYear+218</f>
        <v>2243</v>
      </c>
      <c r="B220" s="4">
        <f>FacultyFTE*HoursPerWeek*WeeksPerYear*RatePerHour*(1+PracticeGrowth)^218</f>
        <v>11985597385.897417</v>
      </c>
      <c r="C220" s="4">
        <f>StudentsY1*(1+StudentGrowth)^218*CreditsPerStudent*TuitionPerCredit</f>
        <v>74909983661.858856</v>
      </c>
      <c r="D220" s="4">
        <f>SimRevY1*(1+SimGrowth)^218</f>
        <v>52792881725803.305</v>
      </c>
      <c r="E220" s="4">
        <f>FacDevRevY1*(1+FacDevGrowth)^218</f>
        <v>26396440862901.652</v>
      </c>
      <c r="F220" s="4">
        <f t="shared" si="12"/>
        <v>79264232572366.812</v>
      </c>
      <c r="G220" s="4">
        <f t="shared" si="13"/>
        <v>79276218169752.703</v>
      </c>
      <c r="H220" s="4">
        <f>SalaryFTECount*SalaryPerFTE*(1+SalaryGrowth)^218</f>
        <v>1085143721.2140284</v>
      </c>
      <c r="I220" s="4">
        <f>SimOpsY1*(1+SimOpsGrowth)^218</f>
        <v>580096106905.02588</v>
      </c>
      <c r="J220" s="4">
        <f>TrainDevY1*(1+TrainDevGrowth)^218</f>
        <v>290048053452.51294</v>
      </c>
      <c r="K220" s="4">
        <f>AdminY1*(1+AdminGrowth)^218</f>
        <v>6572167499.0275154</v>
      </c>
      <c r="L220" s="4">
        <f t="shared" si="14"/>
        <v>877801471577.78027</v>
      </c>
      <c r="M220" s="4">
        <f t="shared" si="15"/>
        <v>78398416698174.922</v>
      </c>
    </row>
    <row r="221" spans="1:13" x14ac:dyDescent="0.2">
      <c r="A221" s="3">
        <f>StartYear+219</f>
        <v>2244</v>
      </c>
      <c r="B221" s="4">
        <f>FacultyFTE*HoursPerWeek*WeeksPerYear*RatePerHour*(1+PracticeGrowth)^219</f>
        <v>12584877255.192291</v>
      </c>
      <c r="C221" s="4">
        <f>StudentsY1*(1+StudentGrowth)^219*CreditsPerStudent*TuitionPerCredit</f>
        <v>78655482844.951828</v>
      </c>
      <c r="D221" s="4">
        <f>SimRevY1*(1+SimGrowth)^219</f>
        <v>58072169898383.641</v>
      </c>
      <c r="E221" s="4">
        <f>FacDevRevY1*(1+FacDevGrowth)^219</f>
        <v>29036084949191.82</v>
      </c>
      <c r="F221" s="4">
        <f t="shared" si="12"/>
        <v>87186910330420.406</v>
      </c>
      <c r="G221" s="4">
        <f t="shared" si="13"/>
        <v>87199495207675.594</v>
      </c>
      <c r="H221" s="4">
        <f>SalaryFTECount*SalaryPerFTE*(1+SalaryGrowth)^219</f>
        <v>1128549470.0625896</v>
      </c>
      <c r="I221" s="4">
        <f>SimOpsY1*(1+SimOpsGrowth)^219</f>
        <v>626503795457.42786</v>
      </c>
      <c r="J221" s="4">
        <f>TrainDevY1*(1+TrainDevGrowth)^219</f>
        <v>313251897728.71393</v>
      </c>
      <c r="K221" s="4">
        <f>AdminY1*(1+AdminGrowth)^219</f>
        <v>6966497548.9691677</v>
      </c>
      <c r="L221" s="4">
        <f t="shared" si="14"/>
        <v>947850740205.17346</v>
      </c>
      <c r="M221" s="4">
        <f t="shared" si="15"/>
        <v>86251644467470.422</v>
      </c>
    </row>
    <row r="222" spans="1:13" x14ac:dyDescent="0.2">
      <c r="A222" s="3">
        <f>StartYear+220</f>
        <v>2245</v>
      </c>
      <c r="B222" s="4">
        <f>FacultyFTE*HoursPerWeek*WeeksPerYear*RatePerHour*(1+PracticeGrowth)^220</f>
        <v>13214121117.951904</v>
      </c>
      <c r="C222" s="4">
        <f>StudentsY1*(1+StudentGrowth)^220*CreditsPerStudent*TuitionPerCredit</f>
        <v>82588256987.199402</v>
      </c>
      <c r="D222" s="4">
        <f>SimRevY1*(1+SimGrowth)^220</f>
        <v>63879386888222</v>
      </c>
      <c r="E222" s="4">
        <f>FacDevRevY1*(1+FacDevGrowth)^220</f>
        <v>31939693444111</v>
      </c>
      <c r="F222" s="4">
        <f t="shared" si="12"/>
        <v>95901668589320.203</v>
      </c>
      <c r="G222" s="4">
        <f t="shared" si="13"/>
        <v>95914882710438.156</v>
      </c>
      <c r="H222" s="4">
        <f>SalaryFTECount*SalaryPerFTE*(1+SalaryGrowth)^220</f>
        <v>1173691448.8650935</v>
      </c>
      <c r="I222" s="4">
        <f>SimOpsY1*(1+SimOpsGrowth)^220</f>
        <v>676624099094.02209</v>
      </c>
      <c r="J222" s="4">
        <f>TrainDevY1*(1+TrainDevGrowth)^220</f>
        <v>338312049547.01105</v>
      </c>
      <c r="K222" s="4">
        <f>AdminY1*(1+AdminGrowth)^220</f>
        <v>7384487401.9073181</v>
      </c>
      <c r="L222" s="4">
        <f t="shared" si="14"/>
        <v>1023494327491.8055</v>
      </c>
      <c r="M222" s="4">
        <f t="shared" si="15"/>
        <v>94891388382946.344</v>
      </c>
    </row>
    <row r="223" spans="1:13" x14ac:dyDescent="0.2">
      <c r="A223" s="3">
        <f>StartYear+221</f>
        <v>2246</v>
      </c>
      <c r="B223" s="4">
        <f>FacultyFTE*HoursPerWeek*WeeksPerYear*RatePerHour*(1+PracticeGrowth)^221</f>
        <v>13874827173.849503</v>
      </c>
      <c r="C223" s="4">
        <f>StudentsY1*(1+StudentGrowth)^221*CreditsPerStudent*TuitionPerCredit</f>
        <v>86717669836.559372</v>
      </c>
      <c r="D223" s="4">
        <f>SimRevY1*(1+SimGrowth)^221</f>
        <v>70267325577044.203</v>
      </c>
      <c r="E223" s="4">
        <f>FacDevRevY1*(1+FacDevGrowth)^221</f>
        <v>35133662788522.102</v>
      </c>
      <c r="F223" s="4">
        <f t="shared" si="12"/>
        <v>105487706035402.88</v>
      </c>
      <c r="G223" s="4">
        <f t="shared" si="13"/>
        <v>105501580862576.72</v>
      </c>
      <c r="H223" s="4">
        <f>SalaryFTECount*SalaryPerFTE*(1+SalaryGrowth)^221</f>
        <v>1220639106.8196974</v>
      </c>
      <c r="I223" s="4">
        <f>SimOpsY1*(1+SimOpsGrowth)^221</f>
        <v>730754027021.54395</v>
      </c>
      <c r="J223" s="4">
        <f>TrainDevY1*(1+TrainDevGrowth)^221</f>
        <v>365377013510.77197</v>
      </c>
      <c r="K223" s="4">
        <f>AdminY1*(1+AdminGrowth)^221</f>
        <v>7827556646.0217581</v>
      </c>
      <c r="L223" s="4">
        <f t="shared" si="14"/>
        <v>1105179236285.1575</v>
      </c>
      <c r="M223" s="4">
        <f t="shared" si="15"/>
        <v>104396401626291.56</v>
      </c>
    </row>
    <row r="224" spans="1:13" x14ac:dyDescent="0.2">
      <c r="A224" s="3">
        <f>StartYear+222</f>
        <v>2247</v>
      </c>
      <c r="B224" s="4">
        <f>FacultyFTE*HoursPerWeek*WeeksPerYear*RatePerHour*(1+PracticeGrowth)^222</f>
        <v>14568568532.541971</v>
      </c>
      <c r="C224" s="4">
        <f>StudentsY1*(1+StudentGrowth)^222*CreditsPerStudent*TuitionPerCredit</f>
        <v>91053553328.387314</v>
      </c>
      <c r="D224" s="4">
        <f>SimRevY1*(1+SimGrowth)^222</f>
        <v>77294058134748.656</v>
      </c>
      <c r="E224" s="4">
        <f>FacDevRevY1*(1+FacDevGrowth)^222</f>
        <v>38647029067374.328</v>
      </c>
      <c r="F224" s="4">
        <f t="shared" si="12"/>
        <v>116032140755451.38</v>
      </c>
      <c r="G224" s="4">
        <f t="shared" si="13"/>
        <v>116046709323983.92</v>
      </c>
      <c r="H224" s="4">
        <f>SalaryFTECount*SalaryPerFTE*(1+SalaryGrowth)^222</f>
        <v>1269464671.092485</v>
      </c>
      <c r="I224" s="4">
        <f>SimOpsY1*(1+SimOpsGrowth)^222</f>
        <v>789214349183.26758</v>
      </c>
      <c r="J224" s="4">
        <f>TrainDevY1*(1+TrainDevGrowth)^222</f>
        <v>394607174591.63379</v>
      </c>
      <c r="K224" s="4">
        <f>AdminY1*(1+AdminGrowth)^222</f>
        <v>8297210044.7830639</v>
      </c>
      <c r="L224" s="4">
        <f t="shared" si="14"/>
        <v>1193388198490.7769</v>
      </c>
      <c r="M224" s="4">
        <f t="shared" si="15"/>
        <v>114853321125493.14</v>
      </c>
    </row>
    <row r="225" spans="1:13" x14ac:dyDescent="0.2">
      <c r="A225" s="3">
        <f>StartYear+223</f>
        <v>2248</v>
      </c>
      <c r="B225" s="4">
        <f>FacultyFTE*HoursPerWeek*WeeksPerYear*RatePerHour*(1+PracticeGrowth)^223</f>
        <v>15296996959.169077</v>
      </c>
      <c r="C225" s="4">
        <f>StudentsY1*(1+StudentGrowth)^223*CreditsPerStudent*TuitionPerCredit</f>
        <v>95606230994.806732</v>
      </c>
      <c r="D225" s="4">
        <f>SimRevY1*(1+SimGrowth)^223</f>
        <v>85023463948223.5</v>
      </c>
      <c r="E225" s="4">
        <f>FacDevRevY1*(1+FacDevGrowth)^223</f>
        <v>42511731974111.75</v>
      </c>
      <c r="F225" s="4">
        <f t="shared" si="12"/>
        <v>127630802153330.06</v>
      </c>
      <c r="G225" s="4">
        <f t="shared" si="13"/>
        <v>127646099150289.23</v>
      </c>
      <c r="H225" s="4">
        <f>SalaryFTECount*SalaryPerFTE*(1+SalaryGrowth)^223</f>
        <v>1320243257.9361844</v>
      </c>
      <c r="I225" s="4">
        <f>SimOpsY1*(1+SimOpsGrowth)^223</f>
        <v>852351497117.92908</v>
      </c>
      <c r="J225" s="4">
        <f>TrainDevY1*(1+TrainDevGrowth)^223</f>
        <v>426175748558.96454</v>
      </c>
      <c r="K225" s="4">
        <f>AdminY1*(1+AdminGrowth)^223</f>
        <v>8795042647.4700489</v>
      </c>
      <c r="L225" s="4">
        <f t="shared" si="14"/>
        <v>1288642531582.2998</v>
      </c>
      <c r="M225" s="4">
        <f t="shared" si="15"/>
        <v>126357456618706.94</v>
      </c>
    </row>
    <row r="226" spans="1:13" x14ac:dyDescent="0.2">
      <c r="A226" s="3">
        <f>StartYear+224</f>
        <v>2249</v>
      </c>
      <c r="B226" s="4">
        <f>FacultyFTE*HoursPerWeek*WeeksPerYear*RatePerHour*(1+PracticeGrowth)^224</f>
        <v>16061846807.127529</v>
      </c>
      <c r="C226" s="4">
        <f>StudentsY1*(1+StudentGrowth)^224*CreditsPerStudent*TuitionPerCredit</f>
        <v>100386542544.54706</v>
      </c>
      <c r="D226" s="4">
        <f>SimRevY1*(1+SimGrowth)^224</f>
        <v>93525810343045.859</v>
      </c>
      <c r="E226" s="4">
        <f>FacDevRevY1*(1+FacDevGrowth)^224</f>
        <v>46762905171522.93</v>
      </c>
      <c r="F226" s="4">
        <f t="shared" si="12"/>
        <v>140389102057113.34</v>
      </c>
      <c r="G226" s="4">
        <f t="shared" si="13"/>
        <v>140405163903920.47</v>
      </c>
      <c r="H226" s="4">
        <f>SalaryFTECount*SalaryPerFTE*(1+SalaryGrowth)^224</f>
        <v>1373052988.2536321</v>
      </c>
      <c r="I226" s="4">
        <f>SimOpsY1*(1+SimOpsGrowth)^224</f>
        <v>920539616887.36353</v>
      </c>
      <c r="J226" s="4">
        <f>TrainDevY1*(1+TrainDevGrowth)^224</f>
        <v>460269808443.68176</v>
      </c>
      <c r="K226" s="4">
        <f>AdminY1*(1+AdminGrowth)^224</f>
        <v>9322745206.3182507</v>
      </c>
      <c r="L226" s="4">
        <f t="shared" si="14"/>
        <v>1391505223525.6172</v>
      </c>
      <c r="M226" s="4">
        <f t="shared" si="15"/>
        <v>139013658680394.84</v>
      </c>
    </row>
    <row r="227" spans="1:13" x14ac:dyDescent="0.2">
      <c r="A227" s="3">
        <f>StartYear+225</f>
        <v>2250</v>
      </c>
      <c r="B227" s="4">
        <f>FacultyFTE*HoursPerWeek*WeeksPerYear*RatePerHour*(1+PracticeGrowth)^225</f>
        <v>16864939147.483906</v>
      </c>
      <c r="C227" s="4">
        <f>StudentsY1*(1+StudentGrowth)^225*CreditsPerStudent*TuitionPerCredit</f>
        <v>105405869671.77441</v>
      </c>
      <c r="D227" s="4">
        <f>SimRevY1*(1+SimGrowth)^225</f>
        <v>102878391377350.45</v>
      </c>
      <c r="E227" s="4">
        <f>FacDevRevY1*(1+FacDevGrowth)^225</f>
        <v>51439195688675.227</v>
      </c>
      <c r="F227" s="4">
        <f t="shared" si="12"/>
        <v>154422992935697.47</v>
      </c>
      <c r="G227" s="4">
        <f t="shared" si="13"/>
        <v>154439857874844.94</v>
      </c>
      <c r="H227" s="4">
        <f>SalaryFTECount*SalaryPerFTE*(1+SalaryGrowth)^225</f>
        <v>1427975107.7837775</v>
      </c>
      <c r="I227" s="4">
        <f>SimOpsY1*(1+SimOpsGrowth)^225</f>
        <v>994182786238.35242</v>
      </c>
      <c r="J227" s="4">
        <f>TrainDevY1*(1+TrainDevGrowth)^225</f>
        <v>497091393119.17621</v>
      </c>
      <c r="K227" s="4">
        <f>AdminY1*(1+AdminGrowth)^225</f>
        <v>9882109918.6973457</v>
      </c>
      <c r="L227" s="4">
        <f t="shared" si="14"/>
        <v>1502584264384.0098</v>
      </c>
      <c r="M227" s="4">
        <f t="shared" si="15"/>
        <v>152937273610460.94</v>
      </c>
    </row>
    <row r="228" spans="1:13" x14ac:dyDescent="0.2">
      <c r="A228" s="3">
        <f>StartYear+226</f>
        <v>2251</v>
      </c>
      <c r="B228" s="4">
        <f>FacultyFTE*HoursPerWeek*WeeksPerYear*RatePerHour*(1+PracticeGrowth)^226</f>
        <v>17708186104.858101</v>
      </c>
      <c r="C228" s="4">
        <f>StudentsY1*(1+StudentGrowth)^226*CreditsPerStudent*TuitionPerCredit</f>
        <v>110676163155.36313</v>
      </c>
      <c r="D228" s="4">
        <f>SimRevY1*(1+SimGrowth)^226</f>
        <v>113166230515085.5</v>
      </c>
      <c r="E228" s="4">
        <f>FacDevRevY1*(1+FacDevGrowth)^226</f>
        <v>56583115257542.75</v>
      </c>
      <c r="F228" s="4">
        <f t="shared" si="12"/>
        <v>169860021935783.62</v>
      </c>
      <c r="G228" s="4">
        <f t="shared" si="13"/>
        <v>169877730121888.47</v>
      </c>
      <c r="H228" s="4">
        <f>SalaryFTECount*SalaryPerFTE*(1+SalaryGrowth)^226</f>
        <v>1485094112.0951285</v>
      </c>
      <c r="I228" s="4">
        <f>SimOpsY1*(1+SimOpsGrowth)^226</f>
        <v>1073717409137.4207</v>
      </c>
      <c r="J228" s="4">
        <f>TrainDevY1*(1+TrainDevGrowth)^226</f>
        <v>536858704568.71033</v>
      </c>
      <c r="K228" s="4">
        <f>AdminY1*(1+AdminGrowth)^226</f>
        <v>10475036513.819187</v>
      </c>
      <c r="L228" s="4">
        <f t="shared" si="14"/>
        <v>1622536244332.0452</v>
      </c>
      <c r="M228" s="4">
        <f t="shared" si="15"/>
        <v>168255193877556.44</v>
      </c>
    </row>
    <row r="229" spans="1:13" x14ac:dyDescent="0.2">
      <c r="A229" s="3">
        <f>StartYear+227</f>
        <v>2252</v>
      </c>
      <c r="B229" s="4">
        <f>FacultyFTE*HoursPerWeek*WeeksPerYear*RatePerHour*(1+PracticeGrowth)^227</f>
        <v>18593595410.101009</v>
      </c>
      <c r="C229" s="4">
        <f>StudentsY1*(1+StudentGrowth)^227*CreditsPerStudent*TuitionPerCredit</f>
        <v>116209971313.1313</v>
      </c>
      <c r="D229" s="4">
        <f>SimRevY1*(1+SimGrowth)^227</f>
        <v>124482853566594.08</v>
      </c>
      <c r="E229" s="4">
        <f>FacDevRevY1*(1+FacDevGrowth)^227</f>
        <v>62241426783297.039</v>
      </c>
      <c r="F229" s="4">
        <f t="shared" si="12"/>
        <v>186840490321204.25</v>
      </c>
      <c r="G229" s="4">
        <f t="shared" si="13"/>
        <v>186859083916614.34</v>
      </c>
      <c r="H229" s="4">
        <f>SalaryFTECount*SalaryPerFTE*(1+SalaryGrowth)^227</f>
        <v>1544497876.5789337</v>
      </c>
      <c r="I229" s="4">
        <f>SimOpsY1*(1+SimOpsGrowth)^227</f>
        <v>1159614801868.4146</v>
      </c>
      <c r="J229" s="4">
        <f>TrainDevY1*(1+TrainDevGrowth)^227</f>
        <v>579807400934.20728</v>
      </c>
      <c r="K229" s="4">
        <f>AdminY1*(1+AdminGrowth)^227</f>
        <v>11103538704.648338</v>
      </c>
      <c r="L229" s="4">
        <f t="shared" si="14"/>
        <v>1752070239383.8491</v>
      </c>
      <c r="M229" s="4">
        <f t="shared" si="15"/>
        <v>185107013677230.5</v>
      </c>
    </row>
    <row r="230" spans="1:13" x14ac:dyDescent="0.2">
      <c r="A230" s="3">
        <f>StartYear+228</f>
        <v>2253</v>
      </c>
      <c r="B230" s="4">
        <f>FacultyFTE*HoursPerWeek*WeeksPerYear*RatePerHour*(1+PracticeGrowth)^228</f>
        <v>19523275180.606056</v>
      </c>
      <c r="C230" s="4">
        <f>StudentsY1*(1+StudentGrowth)^228*CreditsPerStudent*TuitionPerCredit</f>
        <v>122020469878.78784</v>
      </c>
      <c r="D230" s="4">
        <f>SimRevY1*(1+SimGrowth)^228</f>
        <v>136931138923253.48</v>
      </c>
      <c r="E230" s="4">
        <f>FacDevRevY1*(1+FacDevGrowth)^228</f>
        <v>68465569461626.742</v>
      </c>
      <c r="F230" s="4">
        <f t="shared" si="12"/>
        <v>205518728854759</v>
      </c>
      <c r="G230" s="4">
        <f t="shared" si="13"/>
        <v>205538252129939.59</v>
      </c>
      <c r="H230" s="4">
        <f>SalaryFTECount*SalaryPerFTE*(1+SalaryGrowth)^228</f>
        <v>1606277791.642091</v>
      </c>
      <c r="I230" s="4">
        <f>SimOpsY1*(1+SimOpsGrowth)^228</f>
        <v>1252383986017.8879</v>
      </c>
      <c r="J230" s="4">
        <f>TrainDevY1*(1+TrainDevGrowth)^228</f>
        <v>626191993008.94397</v>
      </c>
      <c r="K230" s="4">
        <f>AdminY1*(1+AdminGrowth)^228</f>
        <v>11769751026.927242</v>
      </c>
      <c r="L230" s="4">
        <f t="shared" si="14"/>
        <v>1891952007845.4014</v>
      </c>
      <c r="M230" s="4">
        <f t="shared" si="15"/>
        <v>203646300122094.19</v>
      </c>
    </row>
    <row r="231" spans="1:13" x14ac:dyDescent="0.2">
      <c r="A231" s="3">
        <f>StartYear+229</f>
        <v>2254</v>
      </c>
      <c r="B231" s="4">
        <f>FacultyFTE*HoursPerWeek*WeeksPerYear*RatePerHour*(1+PracticeGrowth)^229</f>
        <v>20499438939.63636</v>
      </c>
      <c r="C231" s="4">
        <f>StudentsY1*(1+StudentGrowth)^229*CreditsPerStudent*TuitionPerCredit</f>
        <v>128121493372.72723</v>
      </c>
      <c r="D231" s="4">
        <f>SimRevY1*(1+SimGrowth)^229</f>
        <v>150624252815578.84</v>
      </c>
      <c r="E231" s="4">
        <f>FacDevRevY1*(1+FacDevGrowth)^229</f>
        <v>75312126407789.422</v>
      </c>
      <c r="F231" s="4">
        <f t="shared" si="12"/>
        <v>226064500716741</v>
      </c>
      <c r="G231" s="4">
        <f t="shared" si="13"/>
        <v>226085000155680.62</v>
      </c>
      <c r="H231" s="4">
        <f>SalaryFTECount*SalaryPerFTE*(1+SalaryGrowth)^229</f>
        <v>1670528903.307775</v>
      </c>
      <c r="I231" s="4">
        <f>SimOpsY1*(1+SimOpsGrowth)^229</f>
        <v>1352574704899.3188</v>
      </c>
      <c r="J231" s="4">
        <f>TrainDevY1*(1+TrainDevGrowth)^229</f>
        <v>676287352449.65942</v>
      </c>
      <c r="K231" s="4">
        <f>AdminY1*(1+AdminGrowth)^229</f>
        <v>12475936088.542875</v>
      </c>
      <c r="L231" s="4">
        <f t="shared" si="14"/>
        <v>2043008522340.8291</v>
      </c>
      <c r="M231" s="4">
        <f t="shared" si="15"/>
        <v>224041991633339.78</v>
      </c>
    </row>
    <row r="232" spans="1:13" x14ac:dyDescent="0.2">
      <c r="A232" s="3">
        <f>StartYear+230</f>
        <v>2255</v>
      </c>
      <c r="B232" s="4">
        <f>FacultyFTE*HoursPerWeek*WeeksPerYear*RatePerHour*(1+PracticeGrowth)^230</f>
        <v>21524410886.618176</v>
      </c>
      <c r="C232" s="4">
        <f>StudentsY1*(1+StudentGrowth)^230*CreditsPerStudent*TuitionPerCredit</f>
        <v>134527568041.36359</v>
      </c>
      <c r="D232" s="4">
        <f>SimRevY1*(1+SimGrowth)^230</f>
        <v>165686678097136.75</v>
      </c>
      <c r="E232" s="4">
        <f>FacDevRevY1*(1+FacDevGrowth)^230</f>
        <v>82843339048568.375</v>
      </c>
      <c r="F232" s="4">
        <f t="shared" si="12"/>
        <v>248664544713746.5</v>
      </c>
      <c r="G232" s="4">
        <f t="shared" si="13"/>
        <v>248686069124633.12</v>
      </c>
      <c r="H232" s="4">
        <f>SalaryFTECount*SalaryPerFTE*(1+SalaryGrowth)^230</f>
        <v>1737350059.4400856</v>
      </c>
      <c r="I232" s="4">
        <f>SimOpsY1*(1+SimOpsGrowth)^230</f>
        <v>1460780681291.2646</v>
      </c>
      <c r="J232" s="4">
        <f>TrainDevY1*(1+TrainDevGrowth)^230</f>
        <v>730390340645.63232</v>
      </c>
      <c r="K232" s="4">
        <f>AdminY1*(1+AdminGrowth)^230</f>
        <v>13224492253.85545</v>
      </c>
      <c r="L232" s="4">
        <f t="shared" si="14"/>
        <v>2206132864250.1924</v>
      </c>
      <c r="M232" s="4">
        <f t="shared" si="15"/>
        <v>246479936260382.94</v>
      </c>
    </row>
    <row r="233" spans="1:13" x14ac:dyDescent="0.2">
      <c r="A233" s="3">
        <f>StartYear+231</f>
        <v>2256</v>
      </c>
      <c r="B233" s="4">
        <f>FacultyFTE*HoursPerWeek*WeeksPerYear*RatePerHour*(1+PracticeGrowth)^231</f>
        <v>22600631430.949089</v>
      </c>
      <c r="C233" s="4">
        <f>StudentsY1*(1+StudentGrowth)^231*CreditsPerStudent*TuitionPerCredit</f>
        <v>141253946443.43179</v>
      </c>
      <c r="D233" s="4">
        <f>SimRevY1*(1+SimGrowth)^231</f>
        <v>182255345906850.44</v>
      </c>
      <c r="E233" s="4">
        <f>FacDevRevY1*(1+FacDevGrowth)^231</f>
        <v>91127672953425.219</v>
      </c>
      <c r="F233" s="4">
        <f t="shared" si="12"/>
        <v>273524272806719.09</v>
      </c>
      <c r="G233" s="4">
        <f t="shared" si="13"/>
        <v>273546873438150.03</v>
      </c>
      <c r="H233" s="4">
        <f>SalaryFTECount*SalaryPerFTE*(1+SalaryGrowth)^231</f>
        <v>1806844061.8176892</v>
      </c>
      <c r="I233" s="4">
        <f>SimOpsY1*(1+SimOpsGrowth)^231</f>
        <v>1577643135794.5657</v>
      </c>
      <c r="J233" s="4">
        <f>TrainDevY1*(1+TrainDevGrowth)^231</f>
        <v>788821567897.28284</v>
      </c>
      <c r="K233" s="4">
        <f>AdminY1*(1+AdminGrowth)^231</f>
        <v>14017961789.086781</v>
      </c>
      <c r="L233" s="4">
        <f t="shared" si="14"/>
        <v>2382289509542.7529</v>
      </c>
      <c r="M233" s="4">
        <f t="shared" si="15"/>
        <v>271164583928607.28</v>
      </c>
    </row>
    <row r="234" spans="1:13" x14ac:dyDescent="0.2">
      <c r="A234" s="3">
        <f>StartYear+232</f>
        <v>2257</v>
      </c>
      <c r="B234" s="4">
        <f>FacultyFTE*HoursPerWeek*WeeksPerYear*RatePerHour*(1+PracticeGrowth)^232</f>
        <v>23730663002.49654</v>
      </c>
      <c r="C234" s="4">
        <f>StudentsY1*(1+StudentGrowth)^232*CreditsPerStudent*TuitionPerCredit</f>
        <v>148316643765.60336</v>
      </c>
      <c r="D234" s="4">
        <f>SimRevY1*(1+SimGrowth)^232</f>
        <v>200480880497535.5</v>
      </c>
      <c r="E234" s="4">
        <f>FacDevRevY1*(1+FacDevGrowth)^232</f>
        <v>100240440248767.75</v>
      </c>
      <c r="F234" s="4">
        <f t="shared" si="12"/>
        <v>300869637390068.88</v>
      </c>
      <c r="G234" s="4">
        <f t="shared" si="13"/>
        <v>300893368053071.38</v>
      </c>
      <c r="H234" s="4">
        <f>SalaryFTECount*SalaryPerFTE*(1+SalaryGrowth)^232</f>
        <v>1879117824.2903976</v>
      </c>
      <c r="I234" s="4">
        <f>SimOpsY1*(1+SimOpsGrowth)^232</f>
        <v>1703854586658.1309</v>
      </c>
      <c r="J234" s="4">
        <f>TrainDevY1*(1+TrainDevGrowth)^232</f>
        <v>851927293329.06543</v>
      </c>
      <c r="K234" s="4">
        <f>AdminY1*(1+AdminGrowth)^232</f>
        <v>14859039496.431984</v>
      </c>
      <c r="L234" s="4">
        <f t="shared" si="14"/>
        <v>2572520037307.9185</v>
      </c>
      <c r="M234" s="4">
        <f t="shared" si="15"/>
        <v>298320848015763.44</v>
      </c>
    </row>
    <row r="235" spans="1:13" x14ac:dyDescent="0.2">
      <c r="A235" s="3">
        <f>StartYear+233</f>
        <v>2258</v>
      </c>
      <c r="B235" s="4">
        <f>FacultyFTE*HoursPerWeek*WeeksPerYear*RatePerHour*(1+PracticeGrowth)^233</f>
        <v>24917196152.621368</v>
      </c>
      <c r="C235" s="4">
        <f>StudentsY1*(1+StudentGrowth)^233*CreditsPerStudent*TuitionPerCredit</f>
        <v>155732475953.88358</v>
      </c>
      <c r="D235" s="4">
        <f>SimRevY1*(1+SimGrowth)^233</f>
        <v>220528968547289.03</v>
      </c>
      <c r="E235" s="4">
        <f>FacDevRevY1*(1+FacDevGrowth)^233</f>
        <v>110264484273644.52</v>
      </c>
      <c r="F235" s="4">
        <f t="shared" si="12"/>
        <v>330949185296887.44</v>
      </c>
      <c r="G235" s="4">
        <f t="shared" si="13"/>
        <v>330974102493040.06</v>
      </c>
      <c r="H235" s="4">
        <f>SalaryFTECount*SalaryPerFTE*(1+SalaryGrowth)^233</f>
        <v>1954282537.2620132</v>
      </c>
      <c r="I235" s="4">
        <f>SimOpsY1*(1+SimOpsGrowth)^233</f>
        <v>1840162953590.7815</v>
      </c>
      <c r="J235" s="4">
        <f>TrainDevY1*(1+TrainDevGrowth)^233</f>
        <v>920081476795.39075</v>
      </c>
      <c r="K235" s="4">
        <f>AdminY1*(1+AdminGrowth)^233</f>
        <v>15750581866.217903</v>
      </c>
      <c r="L235" s="4">
        <f t="shared" si="14"/>
        <v>2777949294789.6519</v>
      </c>
      <c r="M235" s="4">
        <f t="shared" si="15"/>
        <v>328196153198250.44</v>
      </c>
    </row>
    <row r="236" spans="1:13" x14ac:dyDescent="0.2">
      <c r="A236" s="3">
        <f>StartYear+234</f>
        <v>2259</v>
      </c>
      <c r="B236" s="4">
        <f>FacultyFTE*HoursPerWeek*WeeksPerYear*RatePerHour*(1+PracticeGrowth)^234</f>
        <v>26163055960.252438</v>
      </c>
      <c r="C236" s="4">
        <f>StudentsY1*(1+StudentGrowth)^234*CreditsPerStudent*TuitionPerCredit</f>
        <v>163519099751.57776</v>
      </c>
      <c r="D236" s="4">
        <f>SimRevY1*(1+SimGrowth)^234</f>
        <v>242581865402017.97</v>
      </c>
      <c r="E236" s="4">
        <f>FacDevRevY1*(1+FacDevGrowth)^234</f>
        <v>121290932701008.98</v>
      </c>
      <c r="F236" s="4">
        <f t="shared" si="12"/>
        <v>364036317202778.5</v>
      </c>
      <c r="G236" s="4">
        <f t="shared" si="13"/>
        <v>364062480258738.75</v>
      </c>
      <c r="H236" s="4">
        <f>SalaryFTECount*SalaryPerFTE*(1+SalaryGrowth)^234</f>
        <v>2032453838.7524936</v>
      </c>
      <c r="I236" s="4">
        <f>SimOpsY1*(1+SimOpsGrowth)^234</f>
        <v>1987375989878.0439</v>
      </c>
      <c r="J236" s="4">
        <f>TrainDevY1*(1+TrainDevGrowth)^234</f>
        <v>993687994939.02197</v>
      </c>
      <c r="K236" s="4">
        <f>AdminY1*(1+AdminGrowth)^234</f>
        <v>16695616778.190979</v>
      </c>
      <c r="L236" s="4">
        <f t="shared" si="14"/>
        <v>2999792055434.0093</v>
      </c>
      <c r="M236" s="4">
        <f t="shared" si="15"/>
        <v>361062688203304.75</v>
      </c>
    </row>
    <row r="237" spans="1:13" x14ac:dyDescent="0.2">
      <c r="A237" s="3">
        <f>StartYear+235</f>
        <v>2260</v>
      </c>
      <c r="B237" s="4">
        <f>FacultyFTE*HoursPerWeek*WeeksPerYear*RatePerHour*(1+PracticeGrowth)^235</f>
        <v>27471208758.26506</v>
      </c>
      <c r="C237" s="4">
        <f>StudentsY1*(1+StudentGrowth)^235*CreditsPerStudent*TuitionPerCredit</f>
        <v>171695054739.15665</v>
      </c>
      <c r="D237" s="4">
        <f>SimRevY1*(1+SimGrowth)^235</f>
        <v>266840051942219.78</v>
      </c>
      <c r="E237" s="4">
        <f>FacDevRevY1*(1+FacDevGrowth)^235</f>
        <v>133420025971109.89</v>
      </c>
      <c r="F237" s="4">
        <f t="shared" si="12"/>
        <v>400431772968068.81</v>
      </c>
      <c r="G237" s="4">
        <f t="shared" si="13"/>
        <v>400459244176827.06</v>
      </c>
      <c r="H237" s="4">
        <f>SalaryFTECount*SalaryPerFTE*(1+SalaryGrowth)^235</f>
        <v>2113751992.3025935</v>
      </c>
      <c r="I237" s="4">
        <f>SimOpsY1*(1+SimOpsGrowth)^235</f>
        <v>2146366069068.2874</v>
      </c>
      <c r="J237" s="4">
        <f>TrainDevY1*(1+TrainDevGrowth)^235</f>
        <v>1073183034534.1437</v>
      </c>
      <c r="K237" s="4">
        <f>AdminY1*(1+AdminGrowth)^235</f>
        <v>17697353784.882439</v>
      </c>
      <c r="L237" s="4">
        <f t="shared" si="14"/>
        <v>3239360209379.6157</v>
      </c>
      <c r="M237" s="4">
        <f t="shared" si="15"/>
        <v>397219883967447.44</v>
      </c>
    </row>
    <row r="238" spans="1:13" x14ac:dyDescent="0.2">
      <c r="A238" s="3">
        <f>StartYear+236</f>
        <v>2261</v>
      </c>
      <c r="B238" s="4">
        <f>FacultyFTE*HoursPerWeek*WeeksPerYear*RatePerHour*(1+PracticeGrowth)^236</f>
        <v>28844769196.17831</v>
      </c>
      <c r="C238" s="4">
        <f>StudentsY1*(1+StudentGrowth)^236*CreditsPerStudent*TuitionPerCredit</f>
        <v>180279807476.11444</v>
      </c>
      <c r="D238" s="4">
        <f>SimRevY1*(1+SimGrowth)^236</f>
        <v>293524057136441.75</v>
      </c>
      <c r="E238" s="4">
        <f>FacDevRevY1*(1+FacDevGrowth)^236</f>
        <v>146762028568220.88</v>
      </c>
      <c r="F238" s="4">
        <f t="shared" si="12"/>
        <v>440466365512138.75</v>
      </c>
      <c r="G238" s="4">
        <f t="shared" si="13"/>
        <v>440495210281334.94</v>
      </c>
      <c r="H238" s="4">
        <f>SalaryFTECount*SalaryPerFTE*(1+SalaryGrowth)^236</f>
        <v>2198302071.9946976</v>
      </c>
      <c r="I238" s="4">
        <f>SimOpsY1*(1+SimOpsGrowth)^236</f>
        <v>2318075354593.751</v>
      </c>
      <c r="J238" s="4">
        <f>TrainDevY1*(1+TrainDevGrowth)^236</f>
        <v>1159037677296.8755</v>
      </c>
      <c r="K238" s="4">
        <f>AdminY1*(1+AdminGrowth)^236</f>
        <v>18759195011.975388</v>
      </c>
      <c r="L238" s="4">
        <f t="shared" si="14"/>
        <v>3498070528974.5967</v>
      </c>
      <c r="M238" s="4">
        <f t="shared" si="15"/>
        <v>436997139752360.31</v>
      </c>
    </row>
    <row r="239" spans="1:13" x14ac:dyDescent="0.2">
      <c r="A239" s="3">
        <f>StartYear+237</f>
        <v>2262</v>
      </c>
      <c r="B239" s="4">
        <f>FacultyFTE*HoursPerWeek*WeeksPerYear*RatePerHour*(1+PracticeGrowth)^237</f>
        <v>30287007655.987236</v>
      </c>
      <c r="C239" s="4">
        <f>StudentsY1*(1+StudentGrowth)^237*CreditsPerStudent*TuitionPerCredit</f>
        <v>189293797849.92023</v>
      </c>
      <c r="D239" s="4">
        <f>SimRevY1*(1+SimGrowth)^237</f>
        <v>322876462850086</v>
      </c>
      <c r="E239" s="4">
        <f>FacDevRevY1*(1+FacDevGrowth)^237</f>
        <v>161438231425043</v>
      </c>
      <c r="F239" s="4">
        <f t="shared" si="12"/>
        <v>484503988072978.94</v>
      </c>
      <c r="G239" s="4">
        <f t="shared" si="13"/>
        <v>484534275080634.94</v>
      </c>
      <c r="H239" s="4">
        <f>SalaryFTECount*SalaryPerFTE*(1+SalaryGrowth)^237</f>
        <v>2286234154.8744855</v>
      </c>
      <c r="I239" s="4">
        <f>SimOpsY1*(1+SimOpsGrowth)^237</f>
        <v>2503521382961.251</v>
      </c>
      <c r="J239" s="4">
        <f>TrainDevY1*(1+TrainDevGrowth)^237</f>
        <v>1251760691480.6255</v>
      </c>
      <c r="K239" s="4">
        <f>AdminY1*(1+AdminGrowth)^237</f>
        <v>19884746712.693913</v>
      </c>
      <c r="L239" s="4">
        <f t="shared" si="14"/>
        <v>3777453055309.4448</v>
      </c>
      <c r="M239" s="4">
        <f t="shared" si="15"/>
        <v>480756822025325.5</v>
      </c>
    </row>
    <row r="240" spans="1:13" x14ac:dyDescent="0.2">
      <c r="A240" s="3">
        <f>StartYear+238</f>
        <v>2263</v>
      </c>
      <c r="B240" s="4">
        <f>FacultyFTE*HoursPerWeek*WeeksPerYear*RatePerHour*(1+PracticeGrowth)^238</f>
        <v>31801358038.786583</v>
      </c>
      <c r="C240" s="4">
        <f>StudentsY1*(1+StudentGrowth)^238*CreditsPerStudent*TuitionPerCredit</f>
        <v>198758487742.41617</v>
      </c>
      <c r="D240" s="4">
        <f>SimRevY1*(1+SimGrowth)^238</f>
        <v>355164109135094.62</v>
      </c>
      <c r="E240" s="4">
        <f>FacDevRevY1*(1+FacDevGrowth)^238</f>
        <v>177582054567547.31</v>
      </c>
      <c r="F240" s="4">
        <f t="shared" si="12"/>
        <v>532944922190384.38</v>
      </c>
      <c r="G240" s="4">
        <f t="shared" si="13"/>
        <v>532976723548423.19</v>
      </c>
      <c r="H240" s="4">
        <f>SalaryFTECount*SalaryPerFTE*(1+SalaryGrowth)^238</f>
        <v>2377683521.0694652</v>
      </c>
      <c r="I240" s="4">
        <f>SimOpsY1*(1+SimOpsGrowth)^238</f>
        <v>2703803093598.1514</v>
      </c>
      <c r="J240" s="4">
        <f>TrainDevY1*(1+TrainDevGrowth)^238</f>
        <v>1351901546799.0757</v>
      </c>
      <c r="K240" s="4">
        <f>AdminY1*(1+AdminGrowth)^238</f>
        <v>21077831515.455547</v>
      </c>
      <c r="L240" s="4">
        <f t="shared" si="14"/>
        <v>4079160155433.752</v>
      </c>
      <c r="M240" s="4">
        <f t="shared" si="15"/>
        <v>528897563392989.44</v>
      </c>
    </row>
    <row r="241" spans="1:13" x14ac:dyDescent="0.2">
      <c r="A241" s="3">
        <f>StartYear+239</f>
        <v>2264</v>
      </c>
      <c r="B241" s="4">
        <f>FacultyFTE*HoursPerWeek*WeeksPerYear*RatePerHour*(1+PracticeGrowth)^239</f>
        <v>33391425940.725925</v>
      </c>
      <c r="C241" s="4">
        <f>StudentsY1*(1+StudentGrowth)^239*CreditsPerStudent*TuitionPerCredit</f>
        <v>208696412129.53702</v>
      </c>
      <c r="D241" s="4">
        <f>SimRevY1*(1+SimGrowth)^239</f>
        <v>390680520048604.12</v>
      </c>
      <c r="E241" s="4">
        <f>FacDevRevY1*(1+FacDevGrowth)^239</f>
        <v>195340260024302.06</v>
      </c>
      <c r="F241" s="4">
        <f t="shared" si="12"/>
        <v>586229476485035.75</v>
      </c>
      <c r="G241" s="4">
        <f t="shared" si="13"/>
        <v>586262867910976.5</v>
      </c>
      <c r="H241" s="4">
        <f>SalaryFTECount*SalaryPerFTE*(1+SalaryGrowth)^239</f>
        <v>2472790861.9122434</v>
      </c>
      <c r="I241" s="4">
        <f>SimOpsY1*(1+SimOpsGrowth)^239</f>
        <v>2920107341086.0039</v>
      </c>
      <c r="J241" s="4">
        <f>TrainDevY1*(1+TrainDevGrowth)^239</f>
        <v>1460053670543.002</v>
      </c>
      <c r="K241" s="4">
        <f>AdminY1*(1+AdminGrowth)^239</f>
        <v>22342501406.382885</v>
      </c>
      <c r="L241" s="4">
        <f t="shared" si="14"/>
        <v>4404976303897.3008</v>
      </c>
      <c r="M241" s="4">
        <f t="shared" si="15"/>
        <v>581857891607079.25</v>
      </c>
    </row>
    <row r="242" spans="1:13" x14ac:dyDescent="0.2">
      <c r="A242" s="3">
        <f>StartYear+240</f>
        <v>2265</v>
      </c>
      <c r="B242" s="4">
        <f>FacultyFTE*HoursPerWeek*WeeksPerYear*RatePerHour*(1+PracticeGrowth)^240</f>
        <v>35060997237.762222</v>
      </c>
      <c r="C242" s="4">
        <f>StudentsY1*(1+StudentGrowth)^240*CreditsPerStudent*TuitionPerCredit</f>
        <v>219131232736.01389</v>
      </c>
      <c r="D242" s="4">
        <f>SimRevY1*(1+SimGrowth)^240</f>
        <v>429748572053464.5</v>
      </c>
      <c r="E242" s="4">
        <f>FacDevRevY1*(1+FacDevGrowth)^240</f>
        <v>214874286026732.25</v>
      </c>
      <c r="F242" s="4">
        <f t="shared" si="12"/>
        <v>644841989312932.75</v>
      </c>
      <c r="G242" s="4">
        <f t="shared" si="13"/>
        <v>644877050310170.5</v>
      </c>
      <c r="H242" s="4">
        <f>SalaryFTECount*SalaryPerFTE*(1+SalaryGrowth)^240</f>
        <v>2571702496.3887334</v>
      </c>
      <c r="I242" s="4">
        <f>SimOpsY1*(1+SimOpsGrowth)^240</f>
        <v>3153715928372.8843</v>
      </c>
      <c r="J242" s="4">
        <f>TrainDevY1*(1+TrainDevGrowth)^240</f>
        <v>1576857964186.4421</v>
      </c>
      <c r="K242" s="4">
        <f>AdminY1*(1+AdminGrowth)^240</f>
        <v>23683051490.76585</v>
      </c>
      <c r="L242" s="4">
        <f t="shared" si="14"/>
        <v>4756828646546.4805</v>
      </c>
      <c r="M242" s="4">
        <f t="shared" si="15"/>
        <v>640120221663624</v>
      </c>
    </row>
    <row r="243" spans="1:13" x14ac:dyDescent="0.2">
      <c r="A243" s="3">
        <f>StartYear+241</f>
        <v>2266</v>
      </c>
      <c r="B243" s="4">
        <f>FacultyFTE*HoursPerWeek*WeeksPerYear*RatePerHour*(1+PracticeGrowth)^241</f>
        <v>36814047099.650337</v>
      </c>
      <c r="C243" s="4">
        <f>StudentsY1*(1+StudentGrowth)^241*CreditsPerStudent*TuitionPerCredit</f>
        <v>230087794372.81461</v>
      </c>
      <c r="D243" s="4">
        <f>SimRevY1*(1+SimGrowth)^241</f>
        <v>472723429258811</v>
      </c>
      <c r="E243" s="4">
        <f>FacDevRevY1*(1+FacDevGrowth)^241</f>
        <v>236361714629405.5</v>
      </c>
      <c r="F243" s="4">
        <f t="shared" si="12"/>
        <v>709315231682589.25</v>
      </c>
      <c r="G243" s="4">
        <f t="shared" si="13"/>
        <v>709352045729688.88</v>
      </c>
      <c r="H243" s="4">
        <f>SalaryFTECount*SalaryPerFTE*(1+SalaryGrowth)^241</f>
        <v>2674570596.2442827</v>
      </c>
      <c r="I243" s="4">
        <f>SimOpsY1*(1+SimOpsGrowth)^241</f>
        <v>3406013202642.7148</v>
      </c>
      <c r="J243" s="4">
        <f>TrainDevY1*(1+TrainDevGrowth)^241</f>
        <v>1703006601321.3574</v>
      </c>
      <c r="K243" s="4">
        <f>AdminY1*(1+AdminGrowth)^241</f>
        <v>25104034580.211807</v>
      </c>
      <c r="L243" s="4">
        <f t="shared" si="14"/>
        <v>5136798409140.5283</v>
      </c>
      <c r="M243" s="4">
        <f t="shared" si="15"/>
        <v>704215247320548.38</v>
      </c>
    </row>
    <row r="244" spans="1:13" x14ac:dyDescent="0.2">
      <c r="A244" s="3">
        <f>StartYear+242</f>
        <v>2267</v>
      </c>
      <c r="B244" s="4">
        <f>FacultyFTE*HoursPerWeek*WeeksPerYear*RatePerHour*(1+PracticeGrowth)^242</f>
        <v>38654749454.632851</v>
      </c>
      <c r="C244" s="4">
        <f>StudentsY1*(1+StudentGrowth)^242*CreditsPerStudent*TuitionPerCredit</f>
        <v>241592184091.45532</v>
      </c>
      <c r="D244" s="4">
        <f>SimRevY1*(1+SimGrowth)^242</f>
        <v>519995772184692.12</v>
      </c>
      <c r="E244" s="4">
        <f>FacDevRevY1*(1+FacDevGrowth)^242</f>
        <v>259997886092346.06</v>
      </c>
      <c r="F244" s="4">
        <f t="shared" si="12"/>
        <v>780235250461129.62</v>
      </c>
      <c r="G244" s="4">
        <f t="shared" si="13"/>
        <v>780273905210584.25</v>
      </c>
      <c r="H244" s="4">
        <f>SalaryFTECount*SalaryPerFTE*(1+SalaryGrowth)^242</f>
        <v>2781553420.0940547</v>
      </c>
      <c r="I244" s="4">
        <f>SimOpsY1*(1+SimOpsGrowth)^242</f>
        <v>3678494258854.1323</v>
      </c>
      <c r="J244" s="4">
        <f>TrainDevY1*(1+TrainDevGrowth)^242</f>
        <v>1839247129427.0662</v>
      </c>
      <c r="K244" s="4">
        <f>AdminY1*(1+AdminGrowth)^242</f>
        <v>26610276655.024513</v>
      </c>
      <c r="L244" s="4">
        <f t="shared" si="14"/>
        <v>5547133218356.3174</v>
      </c>
      <c r="M244" s="4">
        <f t="shared" si="15"/>
        <v>774726771992227.88</v>
      </c>
    </row>
    <row r="245" spans="1:13" x14ac:dyDescent="0.2">
      <c r="A245" s="3">
        <f>StartYear+243</f>
        <v>2268</v>
      </c>
      <c r="B245" s="4">
        <f>FacultyFTE*HoursPerWeek*WeeksPerYear*RatePerHour*(1+PracticeGrowth)^243</f>
        <v>40587486927.364494</v>
      </c>
      <c r="C245" s="4">
        <f>StudentsY1*(1+StudentGrowth)^243*CreditsPerStudent*TuitionPerCredit</f>
        <v>253671793296.02808</v>
      </c>
      <c r="D245" s="4">
        <f>SimRevY1*(1+SimGrowth)^243</f>
        <v>571995349403161.38</v>
      </c>
      <c r="E245" s="4">
        <f>FacDevRevY1*(1+FacDevGrowth)^243</f>
        <v>285997674701580.69</v>
      </c>
      <c r="F245" s="4">
        <f t="shared" si="12"/>
        <v>858246695898038</v>
      </c>
      <c r="G245" s="4">
        <f t="shared" si="13"/>
        <v>858287283384965.38</v>
      </c>
      <c r="H245" s="4">
        <f>SalaryFTECount*SalaryPerFTE*(1+SalaryGrowth)^243</f>
        <v>2892815556.8978167</v>
      </c>
      <c r="I245" s="4">
        <f>SimOpsY1*(1+SimOpsGrowth)^243</f>
        <v>3972773799562.4634</v>
      </c>
      <c r="J245" s="4">
        <f>TrainDevY1*(1+TrainDevGrowth)^243</f>
        <v>1986386899781.2317</v>
      </c>
      <c r="K245" s="4">
        <f>AdminY1*(1+AdminGrowth)^243</f>
        <v>28206893254.325985</v>
      </c>
      <c r="L245" s="4">
        <f t="shared" si="14"/>
        <v>5990260408154.9189</v>
      </c>
      <c r="M245" s="4">
        <f t="shared" si="15"/>
        <v>852297022976810.5</v>
      </c>
    </row>
    <row r="246" spans="1:13" x14ac:dyDescent="0.2">
      <c r="A246" s="3">
        <f>StartYear+244</f>
        <v>2269</v>
      </c>
      <c r="B246" s="4">
        <f>FacultyFTE*HoursPerWeek*WeeksPerYear*RatePerHour*(1+PracticeGrowth)^244</f>
        <v>42616861273.732727</v>
      </c>
      <c r="C246" s="4">
        <f>StudentsY1*(1+StudentGrowth)^244*CreditsPerStudent*TuitionPerCredit</f>
        <v>266355382960.82953</v>
      </c>
      <c r="D246" s="4">
        <f>SimRevY1*(1+SimGrowth)^244</f>
        <v>629194884343477.62</v>
      </c>
      <c r="E246" s="4">
        <f>FacDevRevY1*(1+FacDevGrowth)^244</f>
        <v>314597442171738.81</v>
      </c>
      <c r="F246" s="4">
        <f t="shared" si="12"/>
        <v>944058681898177.25</v>
      </c>
      <c r="G246" s="4">
        <f t="shared" si="13"/>
        <v>944101298759451</v>
      </c>
      <c r="H246" s="4">
        <f>SalaryFTECount*SalaryPerFTE*(1+SalaryGrowth)^244</f>
        <v>3008528179.1737294</v>
      </c>
      <c r="I246" s="4">
        <f>SimOpsY1*(1+SimOpsGrowth)^244</f>
        <v>4290595703527.4604</v>
      </c>
      <c r="J246" s="4">
        <f>TrainDevY1*(1+TrainDevGrowth)^244</f>
        <v>2145297851763.7302</v>
      </c>
      <c r="K246" s="4">
        <f>AdminY1*(1+AdminGrowth)^244</f>
        <v>29899306849.585548</v>
      </c>
      <c r="L246" s="4">
        <f t="shared" si="14"/>
        <v>6468801390319.9502</v>
      </c>
      <c r="M246" s="4">
        <f t="shared" si="15"/>
        <v>937632497369131</v>
      </c>
    </row>
    <row r="247" spans="1:13" x14ac:dyDescent="0.2">
      <c r="A247" s="3">
        <f>StartYear+245</f>
        <v>2270</v>
      </c>
      <c r="B247" s="4">
        <f>FacultyFTE*HoursPerWeek*WeeksPerYear*RatePerHour*(1+PracticeGrowth)^245</f>
        <v>44747704337.419342</v>
      </c>
      <c r="C247" s="4">
        <f>StudentsY1*(1+StudentGrowth)^245*CreditsPerStudent*TuitionPerCredit</f>
        <v>279673152108.87091</v>
      </c>
      <c r="D247" s="4">
        <f>SimRevY1*(1+SimGrowth)^245</f>
        <v>692114372777825.38</v>
      </c>
      <c r="E247" s="4">
        <f>FacDevRevY1*(1+FacDevGrowth)^245</f>
        <v>346057186388912.69</v>
      </c>
      <c r="F247" s="4">
        <f t="shared" si="12"/>
        <v>1038451232318847</v>
      </c>
      <c r="G247" s="4">
        <f t="shared" si="13"/>
        <v>1038495980023184.4</v>
      </c>
      <c r="H247" s="4">
        <f>SalaryFTECount*SalaryPerFTE*(1+SalaryGrowth)^245</f>
        <v>3128869306.3406796</v>
      </c>
      <c r="I247" s="4">
        <f>SimOpsY1*(1+SimOpsGrowth)^245</f>
        <v>4633843359809.6572</v>
      </c>
      <c r="J247" s="4">
        <f>TrainDevY1*(1+TrainDevGrowth)^245</f>
        <v>2316921679904.8286</v>
      </c>
      <c r="K247" s="4">
        <f>AdminY1*(1+AdminGrowth)^245</f>
        <v>31693265260.560688</v>
      </c>
      <c r="L247" s="4">
        <f t="shared" si="14"/>
        <v>6985587174281.3867</v>
      </c>
      <c r="M247" s="4">
        <f t="shared" si="15"/>
        <v>1031510392848903</v>
      </c>
    </row>
    <row r="248" spans="1:13" x14ac:dyDescent="0.2">
      <c r="A248" s="3">
        <f>StartYear+246</f>
        <v>2271</v>
      </c>
      <c r="B248" s="4">
        <f>FacultyFTE*HoursPerWeek*WeeksPerYear*RatePerHour*(1+PracticeGrowth)^246</f>
        <v>46985089554.290306</v>
      </c>
      <c r="C248" s="4">
        <f>StudentsY1*(1+StudentGrowth)^246*CreditsPerStudent*TuitionPerCredit</f>
        <v>293656809714.31445</v>
      </c>
      <c r="D248" s="4">
        <f>SimRevY1*(1+SimGrowth)^246</f>
        <v>761325810055608.12</v>
      </c>
      <c r="E248" s="4">
        <f>FacDevRevY1*(1+FacDevGrowth)^246</f>
        <v>380662905027804.06</v>
      </c>
      <c r="F248" s="4">
        <f t="shared" si="12"/>
        <v>1142282371893126.5</v>
      </c>
      <c r="G248" s="4">
        <f t="shared" si="13"/>
        <v>1142329356982680.8</v>
      </c>
      <c r="H248" s="4">
        <f>SalaryFTECount*SalaryPerFTE*(1+SalaryGrowth)^246</f>
        <v>3254024078.5943065</v>
      </c>
      <c r="I248" s="4">
        <f>SimOpsY1*(1+SimOpsGrowth)^246</f>
        <v>5004550828594.4307</v>
      </c>
      <c r="J248" s="4">
        <f>TrainDevY1*(1+TrainDevGrowth)^246</f>
        <v>2502275414297.2153</v>
      </c>
      <c r="K248" s="4">
        <f>AdminY1*(1+AdminGrowth)^246</f>
        <v>33594861176.194328</v>
      </c>
      <c r="L248" s="4">
        <f t="shared" si="14"/>
        <v>7543675128146.4346</v>
      </c>
      <c r="M248" s="4">
        <f t="shared" si="15"/>
        <v>1134785681854534.2</v>
      </c>
    </row>
    <row r="249" spans="1:13" x14ac:dyDescent="0.2">
      <c r="A249" s="3">
        <f>StartYear+247</f>
        <v>2272</v>
      </c>
      <c r="B249" s="4">
        <f>FacultyFTE*HoursPerWeek*WeeksPerYear*RatePerHour*(1+PracticeGrowth)^247</f>
        <v>49334344032.004837</v>
      </c>
      <c r="C249" s="4">
        <f>StudentsY1*(1+StudentGrowth)^247*CreditsPerStudent*TuitionPerCredit</f>
        <v>308339650200.03027</v>
      </c>
      <c r="D249" s="4">
        <f>SimRevY1*(1+SimGrowth)^247</f>
        <v>837458391061169</v>
      </c>
      <c r="E249" s="4">
        <f>FacDevRevY1*(1+FacDevGrowth)^247</f>
        <v>418729195530584.5</v>
      </c>
      <c r="F249" s="4">
        <f t="shared" si="12"/>
        <v>1256495926241953.5</v>
      </c>
      <c r="G249" s="4">
        <f t="shared" si="13"/>
        <v>1256545260585985.5</v>
      </c>
      <c r="H249" s="4">
        <f>SalaryFTECount*SalaryPerFTE*(1+SalaryGrowth)^247</f>
        <v>3384185041.7380781</v>
      </c>
      <c r="I249" s="4">
        <f>SimOpsY1*(1+SimOpsGrowth)^247</f>
        <v>5404914894881.9854</v>
      </c>
      <c r="J249" s="4">
        <f>TrainDevY1*(1+TrainDevGrowth)^247</f>
        <v>2702457447440.9927</v>
      </c>
      <c r="K249" s="4">
        <f>AdminY1*(1+AdminGrowth)^247</f>
        <v>35610552846.765991</v>
      </c>
      <c r="L249" s="4">
        <f t="shared" si="14"/>
        <v>8146367080211.4824</v>
      </c>
      <c r="M249" s="4">
        <f t="shared" si="15"/>
        <v>1248398893505774</v>
      </c>
    </row>
    <row r="250" spans="1:13" x14ac:dyDescent="0.2">
      <c r="A250" s="3">
        <f>StartYear+248</f>
        <v>2273</v>
      </c>
      <c r="B250" s="4">
        <f>FacultyFTE*HoursPerWeek*WeeksPerYear*RatePerHour*(1+PracticeGrowth)^248</f>
        <v>51801061233.60508</v>
      </c>
      <c r="C250" s="4">
        <f>StudentsY1*(1+StudentGrowth)^248*CreditsPerStudent*TuitionPerCredit</f>
        <v>323756632710.0318</v>
      </c>
      <c r="D250" s="4">
        <f>SimRevY1*(1+SimGrowth)^248</f>
        <v>921204230167285.5</v>
      </c>
      <c r="E250" s="4">
        <f>FacDevRevY1*(1+FacDevGrowth)^248</f>
        <v>460602115083642.75</v>
      </c>
      <c r="F250" s="4">
        <f t="shared" si="12"/>
        <v>1382130101883638.2</v>
      </c>
      <c r="G250" s="4">
        <f t="shared" si="13"/>
        <v>1382181902944871.8</v>
      </c>
      <c r="H250" s="4">
        <f>SalaryFTECount*SalaryPerFTE*(1+SalaryGrowth)^248</f>
        <v>3519552443.4076014</v>
      </c>
      <c r="I250" s="4">
        <f>SimOpsY1*(1+SimOpsGrowth)^248</f>
        <v>5837308086472.5439</v>
      </c>
      <c r="J250" s="4">
        <f>TrainDevY1*(1+TrainDevGrowth)^248</f>
        <v>2918654043236.272</v>
      </c>
      <c r="K250" s="4">
        <f>AdminY1*(1+AdminGrowth)^248</f>
        <v>37747186017.571945</v>
      </c>
      <c r="L250" s="4">
        <f t="shared" si="14"/>
        <v>8797228868169.7949</v>
      </c>
      <c r="M250" s="4">
        <f t="shared" si="15"/>
        <v>1373384674076702</v>
      </c>
    </row>
    <row r="251" spans="1:13" x14ac:dyDescent="0.2">
      <c r="A251" s="3">
        <f>StartYear+249</f>
        <v>2274</v>
      </c>
      <c r="B251" s="4">
        <f>FacultyFTE*HoursPerWeek*WeeksPerYear*RatePerHour*(1+PracticeGrowth)^249</f>
        <v>54391114295.285339</v>
      </c>
      <c r="C251" s="4">
        <f>StudentsY1*(1+StudentGrowth)^249*CreditsPerStudent*TuitionPerCredit</f>
        <v>339944464345.53339</v>
      </c>
      <c r="D251" s="4">
        <f>SimRevY1*(1+SimGrowth)^249</f>
        <v>1013324653184014.5</v>
      </c>
      <c r="E251" s="4">
        <f>FacDevRevY1*(1+FacDevGrowth)^249</f>
        <v>506662326592007.25</v>
      </c>
      <c r="F251" s="4">
        <f t="shared" si="12"/>
        <v>1520326924240367.2</v>
      </c>
      <c r="G251" s="4">
        <f t="shared" si="13"/>
        <v>1520381315354662.5</v>
      </c>
      <c r="H251" s="4">
        <f>SalaryFTECount*SalaryPerFTE*(1+SalaryGrowth)^249</f>
        <v>3660334541.1439071</v>
      </c>
      <c r="I251" s="4">
        <f>SimOpsY1*(1+SimOpsGrowth)^249</f>
        <v>6304292733390.3477</v>
      </c>
      <c r="J251" s="4">
        <f>TrainDevY1*(1+TrainDevGrowth)^249</f>
        <v>3152146366695.1738</v>
      </c>
      <c r="K251" s="4">
        <f>AdminY1*(1+AdminGrowth)^249</f>
        <v>40012017178.626266</v>
      </c>
      <c r="L251" s="4">
        <f t="shared" si="14"/>
        <v>9500111451805.291</v>
      </c>
      <c r="M251" s="4">
        <f t="shared" si="15"/>
        <v>1510881203902857.2</v>
      </c>
    </row>
    <row r="252" spans="1:13" x14ac:dyDescent="0.2">
      <c r="A252" s="3">
        <f>StartYear+250</f>
        <v>2275</v>
      </c>
      <c r="B252" s="4">
        <f>FacultyFTE*HoursPerWeek*WeeksPerYear*RatePerHour*(1+PracticeGrowth)^250</f>
        <v>57110670010.049606</v>
      </c>
      <c r="C252" s="4">
        <f>StudentsY1*(1+StudentGrowth)^250*CreditsPerStudent*TuitionPerCredit</f>
        <v>356941687562.81006</v>
      </c>
      <c r="D252" s="4">
        <f>SimRevY1*(1+SimGrowth)^250</f>
        <v>1114657118502415.9</v>
      </c>
      <c r="E252" s="4">
        <f>FacDevRevY1*(1+FacDevGrowth)^250</f>
        <v>557328559251207.94</v>
      </c>
      <c r="F252" s="4">
        <f t="shared" si="12"/>
        <v>1672342619441186.5</v>
      </c>
      <c r="G252" s="4">
        <f t="shared" si="13"/>
        <v>1672399730111196.5</v>
      </c>
      <c r="H252" s="4">
        <f>SalaryFTECount*SalaryPerFTE*(1+SalaryGrowth)^250</f>
        <v>3806747922.7896619</v>
      </c>
      <c r="I252" s="4">
        <f>SimOpsY1*(1+SimOpsGrowth)^250</f>
        <v>6808636152061.5752</v>
      </c>
      <c r="J252" s="4">
        <f>TrainDevY1*(1+TrainDevGrowth)^250</f>
        <v>3404318076030.7876</v>
      </c>
      <c r="K252" s="4">
        <f>AdminY1*(1+AdminGrowth)^250</f>
        <v>42412738209.343842</v>
      </c>
      <c r="L252" s="4">
        <f t="shared" si="14"/>
        <v>10259173714224.496</v>
      </c>
      <c r="M252" s="4">
        <f t="shared" si="15"/>
        <v>1662140556396972</v>
      </c>
    </row>
    <row r="253" spans="1:13" x14ac:dyDescent="0.2">
      <c r="A253" s="3">
        <f>StartYear+251</f>
        <v>2276</v>
      </c>
      <c r="B253" s="4">
        <f>FacultyFTE*HoursPerWeek*WeeksPerYear*RatePerHour*(1+PracticeGrowth)^251</f>
        <v>59966203510.552086</v>
      </c>
      <c r="C253" s="4">
        <f>StudentsY1*(1+StudentGrowth)^251*CreditsPerStudent*TuitionPerCredit</f>
        <v>374788771940.95056</v>
      </c>
      <c r="D253" s="4">
        <f>SimRevY1*(1+SimGrowth)^251</f>
        <v>1226122830352657.8</v>
      </c>
      <c r="E253" s="4">
        <f>FacDevRevY1*(1+FacDevGrowth)^251</f>
        <v>613061415176328.88</v>
      </c>
      <c r="F253" s="4">
        <f t="shared" si="12"/>
        <v>1839559034300927.5</v>
      </c>
      <c r="G253" s="4">
        <f t="shared" si="13"/>
        <v>1839619000504438</v>
      </c>
      <c r="H253" s="4">
        <f>SalaryFTECount*SalaryPerFTE*(1+SalaryGrowth)^251</f>
        <v>3959017839.7012486</v>
      </c>
      <c r="I253" s="4">
        <f>SimOpsY1*(1+SimOpsGrowth)^251</f>
        <v>7353327044226.502</v>
      </c>
      <c r="J253" s="4">
        <f>TrainDevY1*(1+TrainDevGrowth)^251</f>
        <v>3676663522113.251</v>
      </c>
      <c r="K253" s="4">
        <f>AdminY1*(1+AdminGrowth)^251</f>
        <v>44957502501.90448</v>
      </c>
      <c r="L253" s="4">
        <f t="shared" si="14"/>
        <v>11078907086681.357</v>
      </c>
      <c r="M253" s="4">
        <f t="shared" si="15"/>
        <v>1828540093417756.8</v>
      </c>
    </row>
    <row r="254" spans="1:13" x14ac:dyDescent="0.2">
      <c r="A254" s="3">
        <f>StartYear+252</f>
        <v>2277</v>
      </c>
      <c r="B254" s="4">
        <f>FacultyFTE*HoursPerWeek*WeeksPerYear*RatePerHour*(1+PracticeGrowth)^252</f>
        <v>62964513686.079689</v>
      </c>
      <c r="C254" s="4">
        <f>StudentsY1*(1+StudentGrowth)^252*CreditsPerStudent*TuitionPerCredit</f>
        <v>393528210537.99805</v>
      </c>
      <c r="D254" s="4">
        <f>SimRevY1*(1+SimGrowth)^252</f>
        <v>1348735113387923.2</v>
      </c>
      <c r="E254" s="4">
        <f>FacDevRevY1*(1+FacDevGrowth)^252</f>
        <v>674367556693961.62</v>
      </c>
      <c r="F254" s="4">
        <f t="shared" si="12"/>
        <v>2023496198292423</v>
      </c>
      <c r="G254" s="4">
        <f t="shared" si="13"/>
        <v>2023559162806109</v>
      </c>
      <c r="H254" s="4">
        <f>SalaryFTECount*SalaryPerFTE*(1+SalaryGrowth)^252</f>
        <v>4117378553.2893</v>
      </c>
      <c r="I254" s="4">
        <f>SimOpsY1*(1+SimOpsGrowth)^252</f>
        <v>7941593207764.623</v>
      </c>
      <c r="J254" s="4">
        <f>TrainDevY1*(1+TrainDevGrowth)^252</f>
        <v>3970796603882.3115</v>
      </c>
      <c r="K254" s="4">
        <f>AdminY1*(1+AdminGrowth)^252</f>
        <v>47654952652.018738</v>
      </c>
      <c r="L254" s="4">
        <f t="shared" si="14"/>
        <v>11964162142852.242</v>
      </c>
      <c r="M254" s="4">
        <f t="shared" si="15"/>
        <v>2011595000663256.8</v>
      </c>
    </row>
    <row r="255" spans="1:13" x14ac:dyDescent="0.2">
      <c r="A255" s="3">
        <f>StartYear+253</f>
        <v>2278</v>
      </c>
      <c r="B255" s="4">
        <f>FacultyFTE*HoursPerWeek*WeeksPerYear*RatePerHour*(1+PracticeGrowth)^253</f>
        <v>66112739370.383682</v>
      </c>
      <c r="C255" s="4">
        <f>StudentsY1*(1+StudentGrowth)^253*CreditsPerStudent*TuitionPerCredit</f>
        <v>413204621064.89795</v>
      </c>
      <c r="D255" s="4">
        <f>SimRevY1*(1+SimGrowth)^253</f>
        <v>1483608624726715.8</v>
      </c>
      <c r="E255" s="4">
        <f>FacDevRevY1*(1+FacDevGrowth)^253</f>
        <v>741804312363357.88</v>
      </c>
      <c r="F255" s="4">
        <f t="shared" si="12"/>
        <v>2225826141711138.5</v>
      </c>
      <c r="G255" s="4">
        <f t="shared" si="13"/>
        <v>2225892254450509</v>
      </c>
      <c r="H255" s="4">
        <f>SalaryFTECount*SalaryPerFTE*(1+SalaryGrowth)^253</f>
        <v>4282073695.4208717</v>
      </c>
      <c r="I255" s="4">
        <f>SimOpsY1*(1+SimOpsGrowth)^253</f>
        <v>8576920664385.792</v>
      </c>
      <c r="J255" s="4">
        <f>TrainDevY1*(1+TrainDevGrowth)^253</f>
        <v>4288460332192.896</v>
      </c>
      <c r="K255" s="4">
        <f>AdminY1*(1+AdminGrowth)^253</f>
        <v>50514249811.139893</v>
      </c>
      <c r="L255" s="4">
        <f t="shared" si="14"/>
        <v>12920177320085.25</v>
      </c>
      <c r="M255" s="4">
        <f t="shared" si="15"/>
        <v>2212972077130423.8</v>
      </c>
    </row>
    <row r="256" spans="1:13" x14ac:dyDescent="0.2">
      <c r="A256" s="3">
        <f>StartYear+254</f>
        <v>2279</v>
      </c>
      <c r="B256" s="4">
        <f>FacultyFTE*HoursPerWeek*WeeksPerYear*RatePerHour*(1+PracticeGrowth)^254</f>
        <v>69418376338.902832</v>
      </c>
      <c r="C256" s="4">
        <f>StudentsY1*(1+StudentGrowth)^254*CreditsPerStudent*TuitionPerCredit</f>
        <v>433864852118.1427</v>
      </c>
      <c r="D256" s="4">
        <f>SimRevY1*(1+SimGrowth)^254</f>
        <v>1631969487199388</v>
      </c>
      <c r="E256" s="4">
        <f>FacDevRevY1*(1+FacDevGrowth)^254</f>
        <v>815984743599694</v>
      </c>
      <c r="F256" s="4">
        <f t="shared" si="12"/>
        <v>2448388095651200</v>
      </c>
      <c r="G256" s="4">
        <f t="shared" si="13"/>
        <v>2448457514027539</v>
      </c>
      <c r="H256" s="4">
        <f>SalaryFTECount*SalaryPerFTE*(1+SalaryGrowth)^254</f>
        <v>4453356643.2377052</v>
      </c>
      <c r="I256" s="4">
        <f>SimOpsY1*(1+SimOpsGrowth)^254</f>
        <v>9263074317536.6582</v>
      </c>
      <c r="J256" s="4">
        <f>TrainDevY1*(1+TrainDevGrowth)^254</f>
        <v>4631537158768.3291</v>
      </c>
      <c r="K256" s="4">
        <f>AdminY1*(1+AdminGrowth)^254</f>
        <v>53545104799.808273</v>
      </c>
      <c r="L256" s="4">
        <f t="shared" si="14"/>
        <v>13952609937748.035</v>
      </c>
      <c r="M256" s="4">
        <f t="shared" si="15"/>
        <v>2434504904089791</v>
      </c>
    </row>
    <row r="257" spans="1:13" x14ac:dyDescent="0.2">
      <c r="A257" s="3">
        <f>StartYear+255</f>
        <v>2280</v>
      </c>
      <c r="B257" s="4">
        <f>FacultyFTE*HoursPerWeek*WeeksPerYear*RatePerHour*(1+PracticeGrowth)^255</f>
        <v>72889295155.848007</v>
      </c>
      <c r="C257" s="4">
        <f>StudentsY1*(1+StudentGrowth)^255*CreditsPerStudent*TuitionPerCredit</f>
        <v>455558094724.05005</v>
      </c>
      <c r="D257" s="4">
        <f>SimRevY1*(1+SimGrowth)^255</f>
        <v>1795166435919326.5</v>
      </c>
      <c r="E257" s="4">
        <f>FacDevRevY1*(1+FacDevGrowth)^255</f>
        <v>897583217959663.25</v>
      </c>
      <c r="F257" s="4">
        <f t="shared" si="12"/>
        <v>2693205211973714</v>
      </c>
      <c r="G257" s="4">
        <f t="shared" si="13"/>
        <v>2693278101268870</v>
      </c>
      <c r="H257" s="4">
        <f>SalaryFTECount*SalaryPerFTE*(1+SalaryGrowth)^255</f>
        <v>4631490908.9672146</v>
      </c>
      <c r="I257" s="4">
        <f>SimOpsY1*(1+SimOpsGrowth)^255</f>
        <v>10004120262939.594</v>
      </c>
      <c r="J257" s="4">
        <f>TrainDevY1*(1+TrainDevGrowth)^255</f>
        <v>5002060131469.7969</v>
      </c>
      <c r="K257" s="4">
        <f>AdminY1*(1+AdminGrowth)^255</f>
        <v>56757811087.796791</v>
      </c>
      <c r="L257" s="4">
        <f t="shared" si="14"/>
        <v>15067569696406.154</v>
      </c>
      <c r="M257" s="4">
        <f t="shared" si="15"/>
        <v>2678210531572464</v>
      </c>
    </row>
    <row r="258" spans="1:13" x14ac:dyDescent="0.2">
      <c r="A258" s="3">
        <f>StartYear+256</f>
        <v>2281</v>
      </c>
      <c r="B258" s="4">
        <f>FacultyFTE*HoursPerWeek*WeeksPerYear*RatePerHour*(1+PracticeGrowth)^256</f>
        <v>76533759913.640411</v>
      </c>
      <c r="C258" s="4">
        <f>StudentsY1*(1+StudentGrowth)^256*CreditsPerStudent*TuitionPerCredit</f>
        <v>478335999460.25256</v>
      </c>
      <c r="D258" s="4">
        <f>SimRevY1*(1+SimGrowth)^256</f>
        <v>1974683079511259</v>
      </c>
      <c r="E258" s="4">
        <f>FacDevRevY1*(1+FacDevGrowth)^256</f>
        <v>987341539755629.5</v>
      </c>
      <c r="F258" s="4">
        <f t="shared" ref="F258:F321" si="16">C258+D258+E258</f>
        <v>2962502955266349</v>
      </c>
      <c r="G258" s="4">
        <f t="shared" ref="G258:G321" si="17">B258+F258</f>
        <v>2962579489026262.5</v>
      </c>
      <c r="H258" s="4">
        <f>SalaryFTECount*SalaryPerFTE*(1+SalaryGrowth)^256</f>
        <v>4816750545.3259039</v>
      </c>
      <c r="I258" s="4">
        <f>SimOpsY1*(1+SimOpsGrowth)^256</f>
        <v>10804449883974.76</v>
      </c>
      <c r="J258" s="4">
        <f>TrainDevY1*(1+TrainDevGrowth)^256</f>
        <v>5402224941987.3799</v>
      </c>
      <c r="K258" s="4">
        <f>AdminY1*(1+AdminGrowth)^256</f>
        <v>60163279753.064575</v>
      </c>
      <c r="L258" s="4">
        <f t="shared" ref="L258:L321" si="18">SUM(H258:K258)</f>
        <v>16271654856260.529</v>
      </c>
      <c r="M258" s="4">
        <f t="shared" ref="M258:M321" si="19">G258-L258</f>
        <v>2946307834170002</v>
      </c>
    </row>
    <row r="259" spans="1:13" x14ac:dyDescent="0.2">
      <c r="A259" s="3">
        <f>StartYear+257</f>
        <v>2282</v>
      </c>
      <c r="B259" s="4">
        <f>FacultyFTE*HoursPerWeek*WeeksPerYear*RatePerHour*(1+PracticeGrowth)^257</f>
        <v>80360447909.322418</v>
      </c>
      <c r="C259" s="4">
        <f>StudentsY1*(1+StudentGrowth)^257*CreditsPerStudent*TuitionPerCredit</f>
        <v>502252799433.26514</v>
      </c>
      <c r="D259" s="4">
        <f>SimRevY1*(1+SimGrowth)^257</f>
        <v>2172151387462385.2</v>
      </c>
      <c r="E259" s="4">
        <f>FacDevRevY1*(1+FacDevGrowth)^257</f>
        <v>1086075693731192.6</v>
      </c>
      <c r="F259" s="4">
        <f t="shared" si="16"/>
        <v>3258729333993011</v>
      </c>
      <c r="G259" s="4">
        <f t="shared" si="17"/>
        <v>3258809694440920.5</v>
      </c>
      <c r="H259" s="4">
        <f>SalaryFTECount*SalaryPerFTE*(1+SalaryGrowth)^257</f>
        <v>5009420567.1389399</v>
      </c>
      <c r="I259" s="4">
        <f>SimOpsY1*(1+SimOpsGrowth)^257</f>
        <v>11668805874692.742</v>
      </c>
      <c r="J259" s="4">
        <f>TrainDevY1*(1+TrainDevGrowth)^257</f>
        <v>5834402937346.3711</v>
      </c>
      <c r="K259" s="4">
        <f>AdminY1*(1+AdminGrowth)^257</f>
        <v>63773076538.248451</v>
      </c>
      <c r="L259" s="4">
        <f t="shared" si="18"/>
        <v>17571991309144.5</v>
      </c>
      <c r="M259" s="4">
        <f t="shared" si="19"/>
        <v>3241237703131776</v>
      </c>
    </row>
    <row r="260" spans="1:13" x14ac:dyDescent="0.2">
      <c r="A260" s="3">
        <f>StartYear+258</f>
        <v>2283</v>
      </c>
      <c r="B260" s="4">
        <f>FacultyFTE*HoursPerWeek*WeeksPerYear*RatePerHour*(1+PracticeGrowth)^258</f>
        <v>84378470304.788544</v>
      </c>
      <c r="C260" s="4">
        <f>StudentsY1*(1+StudentGrowth)^258*CreditsPerStudent*TuitionPerCredit</f>
        <v>527365439404.92847</v>
      </c>
      <c r="D260" s="4">
        <f>SimRevY1*(1+SimGrowth)^258</f>
        <v>2389366526208624</v>
      </c>
      <c r="E260" s="4">
        <f>FacDevRevY1*(1+FacDevGrowth)^258</f>
        <v>1194683263104312</v>
      </c>
      <c r="F260" s="4">
        <f t="shared" si="16"/>
        <v>3584577154752341</v>
      </c>
      <c r="G260" s="4">
        <f t="shared" si="17"/>
        <v>3584661533222646</v>
      </c>
      <c r="H260" s="4">
        <f>SalaryFTECount*SalaryPerFTE*(1+SalaryGrowth)^258</f>
        <v>5209797389.8244982</v>
      </c>
      <c r="I260" s="4">
        <f>SimOpsY1*(1+SimOpsGrowth)^258</f>
        <v>12602310344668.16</v>
      </c>
      <c r="J260" s="4">
        <f>TrainDevY1*(1+TrainDevGrowth)^258</f>
        <v>6301155172334.0801</v>
      </c>
      <c r="K260" s="4">
        <f>AdminY1*(1+AdminGrowth)^258</f>
        <v>67599461130.543373</v>
      </c>
      <c r="L260" s="4">
        <f t="shared" si="18"/>
        <v>18976274775522.605</v>
      </c>
      <c r="M260" s="4">
        <f t="shared" si="19"/>
        <v>3565685258447123.5</v>
      </c>
    </row>
    <row r="261" spans="1:13" x14ac:dyDescent="0.2">
      <c r="A261" s="3">
        <f>StartYear+259</f>
        <v>2284</v>
      </c>
      <c r="B261" s="4">
        <f>FacultyFTE*HoursPerWeek*WeeksPerYear*RatePerHour*(1+PracticeGrowth)^259</f>
        <v>88597393820.027969</v>
      </c>
      <c r="C261" s="4">
        <f>StudentsY1*(1+StudentGrowth)^259*CreditsPerStudent*TuitionPerCredit</f>
        <v>553733711375.1748</v>
      </c>
      <c r="D261" s="4">
        <f>SimRevY1*(1+SimGrowth)^259</f>
        <v>2628303178829486.5</v>
      </c>
      <c r="E261" s="4">
        <f>FacDevRevY1*(1+FacDevGrowth)^259</f>
        <v>1314151589414743.2</v>
      </c>
      <c r="F261" s="4">
        <f t="shared" si="16"/>
        <v>3943008501955605</v>
      </c>
      <c r="G261" s="4">
        <f t="shared" si="17"/>
        <v>3943097099349425</v>
      </c>
      <c r="H261" s="4">
        <f>SalaryFTECount*SalaryPerFTE*(1+SalaryGrowth)^259</f>
        <v>5418189285.4174786</v>
      </c>
      <c r="I261" s="4">
        <f>SimOpsY1*(1+SimOpsGrowth)^259</f>
        <v>13610495172241.615</v>
      </c>
      <c r="J261" s="4">
        <f>TrainDevY1*(1+TrainDevGrowth)^259</f>
        <v>6805247586120.8076</v>
      </c>
      <c r="K261" s="4">
        <f>AdminY1*(1+AdminGrowth)^259</f>
        <v>71655428798.375977</v>
      </c>
      <c r="L261" s="4">
        <f t="shared" si="18"/>
        <v>20492816376446.215</v>
      </c>
      <c r="M261" s="4">
        <f t="shared" si="19"/>
        <v>3922604282972979</v>
      </c>
    </row>
    <row r="262" spans="1:13" x14ac:dyDescent="0.2">
      <c r="A262" s="3">
        <f>StartYear+260</f>
        <v>2285</v>
      </c>
      <c r="B262" s="4">
        <f>FacultyFTE*HoursPerWeek*WeeksPerYear*RatePerHour*(1+PracticeGrowth)^260</f>
        <v>93027263511.029373</v>
      </c>
      <c r="C262" s="4">
        <f>StudentsY1*(1+StudentGrowth)^260*CreditsPerStudent*TuitionPerCredit</f>
        <v>581420396943.93359</v>
      </c>
      <c r="D262" s="4">
        <f>SimRevY1*(1+SimGrowth)^260</f>
        <v>2891133496712435</v>
      </c>
      <c r="E262" s="4">
        <f>FacDevRevY1*(1+FacDevGrowth)^260</f>
        <v>1445566748356217.5</v>
      </c>
      <c r="F262" s="4">
        <f t="shared" si="16"/>
        <v>4337281665465596.5</v>
      </c>
      <c r="G262" s="4">
        <f t="shared" si="17"/>
        <v>4337374692729107.5</v>
      </c>
      <c r="H262" s="4">
        <f>SalaryFTECount*SalaryPerFTE*(1+SalaryGrowth)^260</f>
        <v>5634916856.834178</v>
      </c>
      <c r="I262" s="4">
        <f>SimOpsY1*(1+SimOpsGrowth)^260</f>
        <v>14699334786020.943</v>
      </c>
      <c r="J262" s="4">
        <f>TrainDevY1*(1+TrainDevGrowth)^260</f>
        <v>7349667393010.4717</v>
      </c>
      <c r="K262" s="4">
        <f>AdminY1*(1+AdminGrowth)^260</f>
        <v>75954754526.278534</v>
      </c>
      <c r="L262" s="4">
        <f t="shared" si="18"/>
        <v>22130591850414.527</v>
      </c>
      <c r="M262" s="4">
        <f t="shared" si="19"/>
        <v>4315244100878693</v>
      </c>
    </row>
    <row r="263" spans="1:13" x14ac:dyDescent="0.2">
      <c r="A263" s="3">
        <f>StartYear+261</f>
        <v>2286</v>
      </c>
      <c r="B263" s="4">
        <f>FacultyFTE*HoursPerWeek*WeeksPerYear*RatePerHour*(1+PracticeGrowth)^261</f>
        <v>97678626686.580841</v>
      </c>
      <c r="C263" s="4">
        <f>StudentsY1*(1+StudentGrowth)^261*CreditsPerStudent*TuitionPerCredit</f>
        <v>610491416791.13025</v>
      </c>
      <c r="D263" s="4">
        <f>SimRevY1*(1+SimGrowth)^261</f>
        <v>3180246846383679</v>
      </c>
      <c r="E263" s="4">
        <f>FacDevRevY1*(1+FacDevGrowth)^261</f>
        <v>1590123423191839.5</v>
      </c>
      <c r="F263" s="4">
        <f t="shared" si="16"/>
        <v>4770980760992310</v>
      </c>
      <c r="G263" s="4">
        <f t="shared" si="17"/>
        <v>4771078439618997</v>
      </c>
      <c r="H263" s="4">
        <f>SalaryFTECount*SalaryPerFTE*(1+SalaryGrowth)^261</f>
        <v>5860313531.1075459</v>
      </c>
      <c r="I263" s="4">
        <f>SimOpsY1*(1+SimOpsGrowth)^261</f>
        <v>15875281568902.619</v>
      </c>
      <c r="J263" s="4">
        <f>TrainDevY1*(1+TrainDevGrowth)^261</f>
        <v>7937640784451.3096</v>
      </c>
      <c r="K263" s="4">
        <f>AdminY1*(1+AdminGrowth)^261</f>
        <v>80512039797.855255</v>
      </c>
      <c r="L263" s="4">
        <f t="shared" si="18"/>
        <v>23899294706682.891</v>
      </c>
      <c r="M263" s="4">
        <f t="shared" si="19"/>
        <v>4747179144912314</v>
      </c>
    </row>
    <row r="264" spans="1:13" x14ac:dyDescent="0.2">
      <c r="A264" s="3">
        <f>StartYear+262</f>
        <v>2287</v>
      </c>
      <c r="B264" s="4">
        <f>FacultyFTE*HoursPerWeek*WeeksPerYear*RatePerHour*(1+PracticeGrowth)^262</f>
        <v>102562558020.90988</v>
      </c>
      <c r="C264" s="4">
        <f>StudentsY1*(1+StudentGrowth)^262*CreditsPerStudent*TuitionPerCredit</f>
        <v>641015987630.68689</v>
      </c>
      <c r="D264" s="4">
        <f>SimRevY1*(1+SimGrowth)^262</f>
        <v>3498271531022047.5</v>
      </c>
      <c r="E264" s="4">
        <f>FacDevRevY1*(1+FacDevGrowth)^262</f>
        <v>1749135765511023.8</v>
      </c>
      <c r="F264" s="4">
        <f t="shared" si="16"/>
        <v>5248048312520702</v>
      </c>
      <c r="G264" s="4">
        <f t="shared" si="17"/>
        <v>5248150875078723</v>
      </c>
      <c r="H264" s="4">
        <f>SalaryFTECount*SalaryPerFTE*(1+SalaryGrowth)^262</f>
        <v>6094726072.3518476</v>
      </c>
      <c r="I264" s="4">
        <f>SimOpsY1*(1+SimOpsGrowth)^262</f>
        <v>17145304094414.832</v>
      </c>
      <c r="J264" s="4">
        <f>TrainDevY1*(1+TrainDevGrowth)^262</f>
        <v>8572652047207.416</v>
      </c>
      <c r="K264" s="4">
        <f>AdminY1*(1+AdminGrowth)^262</f>
        <v>85342762185.726578</v>
      </c>
      <c r="L264" s="4">
        <f t="shared" si="18"/>
        <v>25809393629880.328</v>
      </c>
      <c r="M264" s="4">
        <f t="shared" si="19"/>
        <v>5222341481448843</v>
      </c>
    </row>
    <row r="265" spans="1:13" x14ac:dyDescent="0.2">
      <c r="A265" s="3">
        <f>StartYear+263</f>
        <v>2288</v>
      </c>
      <c r="B265" s="4">
        <f>FacultyFTE*HoursPerWeek*WeeksPerYear*RatePerHour*(1+PracticeGrowth)^263</f>
        <v>107690685921.9554</v>
      </c>
      <c r="C265" s="4">
        <f>StudentsY1*(1+StudentGrowth)^263*CreditsPerStudent*TuitionPerCredit</f>
        <v>673066787012.22119</v>
      </c>
      <c r="D265" s="4">
        <f>SimRevY1*(1+SimGrowth)^263</f>
        <v>3848098684124252.5</v>
      </c>
      <c r="E265" s="4">
        <f>FacDevRevY1*(1+FacDevGrowth)^263</f>
        <v>1924049342062126.2</v>
      </c>
      <c r="F265" s="4">
        <f t="shared" si="16"/>
        <v>5772821092973391</v>
      </c>
      <c r="G265" s="4">
        <f t="shared" si="17"/>
        <v>5772928783659313</v>
      </c>
      <c r="H265" s="4">
        <f>SalaryFTECount*SalaryPerFTE*(1+SalaryGrowth)^263</f>
        <v>6338515115.2459202</v>
      </c>
      <c r="I265" s="4">
        <f>SimOpsY1*(1+SimOpsGrowth)^263</f>
        <v>18516928421968.02</v>
      </c>
      <c r="J265" s="4">
        <f>TrainDevY1*(1+TrainDevGrowth)^263</f>
        <v>9258464210984.0098</v>
      </c>
      <c r="K265" s="4">
        <f>AdminY1*(1+AdminGrowth)^263</f>
        <v>90463327916.870193</v>
      </c>
      <c r="L265" s="4">
        <f t="shared" si="18"/>
        <v>27872194475984.145</v>
      </c>
      <c r="M265" s="4">
        <f t="shared" si="19"/>
        <v>5745056589183329</v>
      </c>
    </row>
    <row r="266" spans="1:13" x14ac:dyDescent="0.2">
      <c r="A266" s="3">
        <f>StartYear+264</f>
        <v>2289</v>
      </c>
      <c r="B266" s="4">
        <f>FacultyFTE*HoursPerWeek*WeeksPerYear*RatePerHour*(1+PracticeGrowth)^264</f>
        <v>113075220218.05316</v>
      </c>
      <c r="C266" s="4">
        <f>StudentsY1*(1+StudentGrowth)^264*CreditsPerStudent*TuitionPerCredit</f>
        <v>706720126362.83228</v>
      </c>
      <c r="D266" s="4">
        <f>SimRevY1*(1+SimGrowth)^264</f>
        <v>4232908552536677.5</v>
      </c>
      <c r="E266" s="4">
        <f>FacDevRevY1*(1+FacDevGrowth)^264</f>
        <v>2116454276268338.8</v>
      </c>
      <c r="F266" s="4">
        <f t="shared" si="16"/>
        <v>6350069548931379</v>
      </c>
      <c r="G266" s="4">
        <f t="shared" si="17"/>
        <v>6350182624151597</v>
      </c>
      <c r="H266" s="4">
        <f>SalaryFTECount*SalaryPerFTE*(1+SalaryGrowth)^264</f>
        <v>6592055719.8557587</v>
      </c>
      <c r="I266" s="4">
        <f>SimOpsY1*(1+SimOpsGrowth)^264</f>
        <v>19998282695725.461</v>
      </c>
      <c r="J266" s="4">
        <f>TrainDevY1*(1+TrainDevGrowth)^264</f>
        <v>9999141347862.7305</v>
      </c>
      <c r="K266" s="4">
        <f>AdminY1*(1+AdminGrowth)^264</f>
        <v>95891127591.882385</v>
      </c>
      <c r="L266" s="4">
        <f t="shared" si="18"/>
        <v>30099907226899.93</v>
      </c>
      <c r="M266" s="4">
        <f t="shared" si="19"/>
        <v>6320082716924697</v>
      </c>
    </row>
    <row r="267" spans="1:13" x14ac:dyDescent="0.2">
      <c r="A267" s="3">
        <f>StartYear+265</f>
        <v>2290</v>
      </c>
      <c r="B267" s="4">
        <f>FacultyFTE*HoursPerWeek*WeeksPerYear*RatePerHour*(1+PracticeGrowth)^265</f>
        <v>118728981228.95581</v>
      </c>
      <c r="C267" s="4">
        <f>StudentsY1*(1+StudentGrowth)^265*CreditsPerStudent*TuitionPerCredit</f>
        <v>742056132680.97388</v>
      </c>
      <c r="D267" s="4">
        <f>SimRevY1*(1+SimGrowth)^265</f>
        <v>4656199407790346</v>
      </c>
      <c r="E267" s="4">
        <f>FacDevRevY1*(1+FacDevGrowth)^265</f>
        <v>2328099703895173</v>
      </c>
      <c r="F267" s="4">
        <f t="shared" si="16"/>
        <v>6985041167818200</v>
      </c>
      <c r="G267" s="4">
        <f t="shared" si="17"/>
        <v>6985159896799429</v>
      </c>
      <c r="H267" s="4">
        <f>SalaryFTECount*SalaryPerFTE*(1+SalaryGrowth)^265</f>
        <v>6855737948.6499901</v>
      </c>
      <c r="I267" s="4">
        <f>SimOpsY1*(1+SimOpsGrowth)^265</f>
        <v>21598145311383.496</v>
      </c>
      <c r="J267" s="4">
        <f>TrainDevY1*(1+TrainDevGrowth)^265</f>
        <v>10799072655691.748</v>
      </c>
      <c r="K267" s="4">
        <f>AdminY1*(1+AdminGrowth)^265</f>
        <v>101644595247.39534</v>
      </c>
      <c r="L267" s="4">
        <f t="shared" si="18"/>
        <v>32505718300271.285</v>
      </c>
      <c r="M267" s="4">
        <f t="shared" si="19"/>
        <v>6952654178499158</v>
      </c>
    </row>
    <row r="268" spans="1:13" x14ac:dyDescent="0.2">
      <c r="A268" s="3">
        <f>StartYear+266</f>
        <v>2291</v>
      </c>
      <c r="B268" s="4">
        <f>FacultyFTE*HoursPerWeek*WeeksPerYear*RatePerHour*(1+PracticeGrowth)^266</f>
        <v>124665430290.40361</v>
      </c>
      <c r="C268" s="4">
        <f>StudentsY1*(1+StudentGrowth)^266*CreditsPerStudent*TuitionPerCredit</f>
        <v>779158939315.02258</v>
      </c>
      <c r="D268" s="4">
        <f>SimRevY1*(1+SimGrowth)^266</f>
        <v>5121819348569381</v>
      </c>
      <c r="E268" s="4">
        <f>FacDevRevY1*(1+FacDevGrowth)^266</f>
        <v>2560909674284690.5</v>
      </c>
      <c r="F268" s="4">
        <f t="shared" si="16"/>
        <v>7683508181793386</v>
      </c>
      <c r="G268" s="4">
        <f t="shared" si="17"/>
        <v>7683632847223676</v>
      </c>
      <c r="H268" s="4">
        <f>SalaryFTECount*SalaryPerFTE*(1+SalaryGrowth)^266</f>
        <v>7129967466.5959892</v>
      </c>
      <c r="I268" s="4">
        <f>SimOpsY1*(1+SimOpsGrowth)^266</f>
        <v>23325996936294.18</v>
      </c>
      <c r="J268" s="4">
        <f>TrainDevY1*(1+TrainDevGrowth)^266</f>
        <v>11662998468147.09</v>
      </c>
      <c r="K268" s="4">
        <f>AdminY1*(1+AdminGrowth)^266</f>
        <v>107743270962.23906</v>
      </c>
      <c r="L268" s="4">
        <f t="shared" si="18"/>
        <v>35103868642870.105</v>
      </c>
      <c r="M268" s="4">
        <f t="shared" si="19"/>
        <v>7648528978580806</v>
      </c>
    </row>
    <row r="269" spans="1:13" x14ac:dyDescent="0.2">
      <c r="A269" s="3">
        <f>StartYear+267</f>
        <v>2292</v>
      </c>
      <c r="B269" s="4">
        <f>FacultyFTE*HoursPerWeek*WeeksPerYear*RatePerHour*(1+PracticeGrowth)^267</f>
        <v>130898701804.9238</v>
      </c>
      <c r="C269" s="4">
        <f>StudentsY1*(1+StudentGrowth)^267*CreditsPerStudent*TuitionPerCredit</f>
        <v>818116886280.77356</v>
      </c>
      <c r="D269" s="4">
        <f>SimRevY1*(1+SimGrowth)^267</f>
        <v>5634001283426320</v>
      </c>
      <c r="E269" s="4">
        <f>FacDevRevY1*(1+FacDevGrowth)^267</f>
        <v>2817000641713160</v>
      </c>
      <c r="F269" s="4">
        <f t="shared" si="16"/>
        <v>8451820042025761</v>
      </c>
      <c r="G269" s="4">
        <f t="shared" si="17"/>
        <v>8451950940727566</v>
      </c>
      <c r="H269" s="4">
        <f>SalaryFTECount*SalaryPerFTE*(1+SalaryGrowth)^267</f>
        <v>7415166165.2598286</v>
      </c>
      <c r="I269" s="4">
        <f>SimOpsY1*(1+SimOpsGrowth)^267</f>
        <v>25192076691197.711</v>
      </c>
      <c r="J269" s="4">
        <f>TrainDevY1*(1+TrainDevGrowth)^267</f>
        <v>12596038345598.855</v>
      </c>
      <c r="K269" s="4">
        <f>AdminY1*(1+AdminGrowth)^267</f>
        <v>114207867219.97343</v>
      </c>
      <c r="L269" s="4">
        <f t="shared" si="18"/>
        <v>37909738070181.805</v>
      </c>
      <c r="M269" s="4">
        <f t="shared" si="19"/>
        <v>8414041202657384</v>
      </c>
    </row>
    <row r="270" spans="1:13" x14ac:dyDescent="0.2">
      <c r="A270" s="3">
        <f>StartYear+268</f>
        <v>2293</v>
      </c>
      <c r="B270" s="4">
        <f>FacultyFTE*HoursPerWeek*WeeksPerYear*RatePerHour*(1+PracticeGrowth)^268</f>
        <v>137443636895.16995</v>
      </c>
      <c r="C270" s="4">
        <f>StudentsY1*(1+StudentGrowth)^268*CreditsPerStudent*TuitionPerCredit</f>
        <v>859022730594.81226</v>
      </c>
      <c r="D270" s="4">
        <f>SimRevY1*(1+SimGrowth)^268</f>
        <v>6197401411768951</v>
      </c>
      <c r="E270" s="4">
        <f>FacDevRevY1*(1+FacDevGrowth)^268</f>
        <v>3098700705884475.5</v>
      </c>
      <c r="F270" s="4">
        <f t="shared" si="16"/>
        <v>9296961140384022</v>
      </c>
      <c r="G270" s="4">
        <f t="shared" si="17"/>
        <v>9297098584020918</v>
      </c>
      <c r="H270" s="4">
        <f>SalaryFTECount*SalaryPerFTE*(1+SalaryGrowth)^268</f>
        <v>7711772811.870223</v>
      </c>
      <c r="I270" s="4">
        <f>SimOpsY1*(1+SimOpsGrowth)^268</f>
        <v>27207442826493.535</v>
      </c>
      <c r="J270" s="4">
        <f>TrainDevY1*(1+TrainDevGrowth)^268</f>
        <v>13603721413246.768</v>
      </c>
      <c r="K270" s="4">
        <f>AdminY1*(1+AdminGrowth)^268</f>
        <v>121060339253.17183</v>
      </c>
      <c r="L270" s="4">
        <f t="shared" si="18"/>
        <v>40939936351805.344</v>
      </c>
      <c r="M270" s="4">
        <f t="shared" si="19"/>
        <v>9256158647669112</v>
      </c>
    </row>
    <row r="271" spans="1:13" x14ac:dyDescent="0.2">
      <c r="A271" s="3">
        <f>StartYear+269</f>
        <v>2294</v>
      </c>
      <c r="B271" s="4">
        <f>FacultyFTE*HoursPerWeek*WeeksPerYear*RatePerHour*(1+PracticeGrowth)^269</f>
        <v>144315818739.9285</v>
      </c>
      <c r="C271" s="4">
        <f>StudentsY1*(1+StudentGrowth)^269*CreditsPerStudent*TuitionPerCredit</f>
        <v>901973867124.55298</v>
      </c>
      <c r="D271" s="4">
        <f>SimRevY1*(1+SimGrowth)^269</f>
        <v>6817141552945847</v>
      </c>
      <c r="E271" s="4">
        <f>FacDevRevY1*(1+FacDevGrowth)^269</f>
        <v>3408570776472923.5</v>
      </c>
      <c r="F271" s="4">
        <f t="shared" si="16"/>
        <v>1.0226614303285896E+16</v>
      </c>
      <c r="G271" s="4">
        <f t="shared" si="17"/>
        <v>1.0226758619104636E+16</v>
      </c>
      <c r="H271" s="4">
        <f>SalaryFTECount*SalaryPerFTE*(1+SalaryGrowth)^269</f>
        <v>8020243724.3450327</v>
      </c>
      <c r="I271" s="4">
        <f>SimOpsY1*(1+SimOpsGrowth)^269</f>
        <v>29384038252613.016</v>
      </c>
      <c r="J271" s="4">
        <f>TrainDevY1*(1+TrainDevGrowth)^269</f>
        <v>14692019126306.508</v>
      </c>
      <c r="K271" s="4">
        <f>AdminY1*(1+AdminGrowth)^269</f>
        <v>128323959608.36215</v>
      </c>
      <c r="L271" s="4">
        <f t="shared" si="18"/>
        <v>44212401582252.227</v>
      </c>
      <c r="M271" s="4">
        <f t="shared" si="19"/>
        <v>1.0182546217522384E+16</v>
      </c>
    </row>
    <row r="272" spans="1:13" x14ac:dyDescent="0.2">
      <c r="A272" s="3">
        <f>StartYear+270</f>
        <v>2295</v>
      </c>
      <c r="B272" s="4">
        <f>FacultyFTE*HoursPerWeek*WeeksPerYear*RatePerHour*(1+PracticeGrowth)^270</f>
        <v>151531609676.92487</v>
      </c>
      <c r="C272" s="4">
        <f>StudentsY1*(1+StudentGrowth)^270*CreditsPerStudent*TuitionPerCredit</f>
        <v>947072560480.78052</v>
      </c>
      <c r="D272" s="4">
        <f>SimRevY1*(1+SimGrowth)^270</f>
        <v>7498855708240433</v>
      </c>
      <c r="E272" s="4">
        <f>FacDevRevY1*(1+FacDevGrowth)^270</f>
        <v>3749427854120216.5</v>
      </c>
      <c r="F272" s="4">
        <f t="shared" si="16"/>
        <v>1.124923063492113E+16</v>
      </c>
      <c r="G272" s="4">
        <f t="shared" si="17"/>
        <v>1.1249382166530806E+16</v>
      </c>
      <c r="H272" s="4">
        <f>SalaryFTECount*SalaryPerFTE*(1+SalaryGrowth)^270</f>
        <v>8341053473.3188334</v>
      </c>
      <c r="I272" s="4">
        <f>SimOpsY1*(1+SimOpsGrowth)^270</f>
        <v>31734761312822.062</v>
      </c>
      <c r="J272" s="4">
        <f>TrainDevY1*(1+TrainDevGrowth)^270</f>
        <v>15867380656411.031</v>
      </c>
      <c r="K272" s="4">
        <f>AdminY1*(1+AdminGrowth)^270</f>
        <v>136023397184.86388</v>
      </c>
      <c r="L272" s="4">
        <f t="shared" si="18"/>
        <v>47746506419891.281</v>
      </c>
      <c r="M272" s="4">
        <f t="shared" si="19"/>
        <v>1.1201635660110914E+16</v>
      </c>
    </row>
    <row r="273" spans="1:13" x14ac:dyDescent="0.2">
      <c r="A273" s="3">
        <f>StartYear+271</f>
        <v>2296</v>
      </c>
      <c r="B273" s="4">
        <f>FacultyFTE*HoursPerWeek*WeeksPerYear*RatePerHour*(1+PracticeGrowth)^271</f>
        <v>159108190160.77115</v>
      </c>
      <c r="C273" s="4">
        <f>StudentsY1*(1+StudentGrowth)^271*CreditsPerStudent*TuitionPerCredit</f>
        <v>994426188504.81958</v>
      </c>
      <c r="D273" s="4">
        <f>SimRevY1*(1+SimGrowth)^271</f>
        <v>8248741279064476</v>
      </c>
      <c r="E273" s="4">
        <f>FacDevRevY1*(1+FacDevGrowth)^271</f>
        <v>4124370639532238</v>
      </c>
      <c r="F273" s="4">
        <f t="shared" si="16"/>
        <v>1.237410634478522E+16</v>
      </c>
      <c r="G273" s="4">
        <f t="shared" si="17"/>
        <v>1.237426545297538E+16</v>
      </c>
      <c r="H273" s="4">
        <f>SalaryFTECount*SalaryPerFTE*(1+SalaryGrowth)^271</f>
        <v>8674695612.2515869</v>
      </c>
      <c r="I273" s="4">
        <f>SimOpsY1*(1+SimOpsGrowth)^271</f>
        <v>34273542217847.828</v>
      </c>
      <c r="J273" s="4">
        <f>TrainDevY1*(1+TrainDevGrowth)^271</f>
        <v>17136771108923.914</v>
      </c>
      <c r="K273" s="4">
        <f>AdminY1*(1+AdminGrowth)^271</f>
        <v>144184801015.95575</v>
      </c>
      <c r="L273" s="4">
        <f t="shared" si="18"/>
        <v>51563172823399.945</v>
      </c>
      <c r="M273" s="4">
        <f t="shared" si="19"/>
        <v>1.232270228015198E+16</v>
      </c>
    </row>
    <row r="274" spans="1:13" x14ac:dyDescent="0.2">
      <c r="A274" s="3">
        <f>StartYear+272</f>
        <v>2297</v>
      </c>
      <c r="B274" s="4">
        <f>FacultyFTE*HoursPerWeek*WeeksPerYear*RatePerHour*(1+PracticeGrowth)^272</f>
        <v>167063599668.80972</v>
      </c>
      <c r="C274" s="4">
        <f>StudentsY1*(1+StudentGrowth)^272*CreditsPerStudent*TuitionPerCredit</f>
        <v>1044147497930.0607</v>
      </c>
      <c r="D274" s="4">
        <f>SimRevY1*(1+SimGrowth)^272</f>
        <v>9073615406970924</v>
      </c>
      <c r="E274" s="4">
        <f>FacDevRevY1*(1+FacDevGrowth)^272</f>
        <v>4536807703485462</v>
      </c>
      <c r="F274" s="4">
        <f t="shared" si="16"/>
        <v>1.3611467257954316E+16</v>
      </c>
      <c r="G274" s="4">
        <f t="shared" si="17"/>
        <v>1.3611634321553984E+16</v>
      </c>
      <c r="H274" s="4">
        <f>SalaryFTECount*SalaryPerFTE*(1+SalaryGrowth)^272</f>
        <v>9021683436.7416515</v>
      </c>
      <c r="I274" s="4">
        <f>SimOpsY1*(1+SimOpsGrowth)^272</f>
        <v>37015425595275.656</v>
      </c>
      <c r="J274" s="4">
        <f>TrainDevY1*(1+TrainDevGrowth)^272</f>
        <v>18507712797637.828</v>
      </c>
      <c r="K274" s="4">
        <f>AdminY1*(1+AdminGrowth)^272</f>
        <v>152835889076.91306</v>
      </c>
      <c r="L274" s="4">
        <f t="shared" si="18"/>
        <v>55684995965427.141</v>
      </c>
      <c r="M274" s="4">
        <f t="shared" si="19"/>
        <v>1.3555949325588556E+16</v>
      </c>
    </row>
    <row r="275" spans="1:13" x14ac:dyDescent="0.2">
      <c r="A275" s="3">
        <f>StartYear+273</f>
        <v>2298</v>
      </c>
      <c r="B275" s="4">
        <f>FacultyFTE*HoursPerWeek*WeeksPerYear*RatePerHour*(1+PracticeGrowth)^273</f>
        <v>175416779652.25021</v>
      </c>
      <c r="C275" s="4">
        <f>StudentsY1*(1+StudentGrowth)^273*CreditsPerStudent*TuitionPerCredit</f>
        <v>1096354872826.5638</v>
      </c>
      <c r="D275" s="4">
        <f>SimRevY1*(1+SimGrowth)^273</f>
        <v>9980976947668016</v>
      </c>
      <c r="E275" s="4">
        <f>FacDevRevY1*(1+FacDevGrowth)^273</f>
        <v>4990488473834008</v>
      </c>
      <c r="F275" s="4">
        <f t="shared" si="16"/>
        <v>1.497256177637485E+16</v>
      </c>
      <c r="G275" s="4">
        <f t="shared" si="17"/>
        <v>1.4972737193154502E+16</v>
      </c>
      <c r="H275" s="4">
        <f>SalaryFTECount*SalaryPerFTE*(1+SalaryGrowth)^273</f>
        <v>9382550774.2113171</v>
      </c>
      <c r="I275" s="4">
        <f>SimOpsY1*(1+SimOpsGrowth)^273</f>
        <v>39976659642897.703</v>
      </c>
      <c r="J275" s="4">
        <f>TrainDevY1*(1+TrainDevGrowth)^273</f>
        <v>19988329821448.852</v>
      </c>
      <c r="K275" s="4">
        <f>AdminY1*(1+AdminGrowth)^273</f>
        <v>162006042421.52786</v>
      </c>
      <c r="L275" s="4">
        <f t="shared" si="18"/>
        <v>60136378057542.297</v>
      </c>
      <c r="M275" s="4">
        <f t="shared" si="19"/>
        <v>1.491260081509696E+16</v>
      </c>
    </row>
    <row r="276" spans="1:13" x14ac:dyDescent="0.2">
      <c r="A276" s="3">
        <f>StartYear+274</f>
        <v>2299</v>
      </c>
      <c r="B276" s="4">
        <f>FacultyFTE*HoursPerWeek*WeeksPerYear*RatePerHour*(1+PracticeGrowth)^274</f>
        <v>184187618634.86273</v>
      </c>
      <c r="C276" s="4">
        <f>StudentsY1*(1+StudentGrowth)^274*CreditsPerStudent*TuitionPerCredit</f>
        <v>1151172616467.8921</v>
      </c>
      <c r="D276" s="4">
        <f>SimRevY1*(1+SimGrowth)^274</f>
        <v>1.097907464243482E+16</v>
      </c>
      <c r="E276" s="4">
        <f>FacDevRevY1*(1+FacDevGrowth)^274</f>
        <v>5489537321217410</v>
      </c>
      <c r="F276" s="4">
        <f t="shared" si="16"/>
        <v>1.6469763136268698E+16</v>
      </c>
      <c r="G276" s="4">
        <f t="shared" si="17"/>
        <v>1.6469947323887332E+16</v>
      </c>
      <c r="H276" s="4">
        <f>SalaryFTECount*SalaryPerFTE*(1+SalaryGrowth)^274</f>
        <v>9757852805.1797714</v>
      </c>
      <c r="I276" s="4">
        <f>SimOpsY1*(1+SimOpsGrowth)^274</f>
        <v>43174792414329.531</v>
      </c>
      <c r="J276" s="4">
        <f>TrainDevY1*(1+TrainDevGrowth)^274</f>
        <v>21587396207164.766</v>
      </c>
      <c r="K276" s="4">
        <f>AdminY1*(1+AdminGrowth)^274</f>
        <v>171726404966.81955</v>
      </c>
      <c r="L276" s="4">
        <f t="shared" si="18"/>
        <v>64943672879266.297</v>
      </c>
      <c r="M276" s="4">
        <f t="shared" si="19"/>
        <v>1.6405003651008066E+16</v>
      </c>
    </row>
    <row r="277" spans="1:13" x14ac:dyDescent="0.2">
      <c r="A277" s="3">
        <f>StartYear+275</f>
        <v>2300</v>
      </c>
      <c r="B277" s="4">
        <f>FacultyFTE*HoursPerWeek*WeeksPerYear*RatePerHour*(1+PracticeGrowth)^275</f>
        <v>193396999566.60587</v>
      </c>
      <c r="C277" s="4">
        <f>StudentsY1*(1+StudentGrowth)^275*CreditsPerStudent*TuitionPerCredit</f>
        <v>1208731247291.2866</v>
      </c>
      <c r="D277" s="4">
        <f>SimRevY1*(1+SimGrowth)^275</f>
        <v>1.2076982106678304E+16</v>
      </c>
      <c r="E277" s="4">
        <f>FacDevRevY1*(1+FacDevGrowth)^275</f>
        <v>6038491053339152</v>
      </c>
      <c r="F277" s="4">
        <f t="shared" si="16"/>
        <v>1.8116681891264748E+16</v>
      </c>
      <c r="G277" s="4">
        <f t="shared" si="17"/>
        <v>1.8116875288264316E+16</v>
      </c>
      <c r="H277" s="4">
        <f>SalaryFTECount*SalaryPerFTE*(1+SalaryGrowth)^275</f>
        <v>10148166917.386963</v>
      </c>
      <c r="I277" s="4">
        <f>SimOpsY1*(1+SimOpsGrowth)^275</f>
        <v>46628775807475.898</v>
      </c>
      <c r="J277" s="4">
        <f>TrainDevY1*(1+TrainDevGrowth)^275</f>
        <v>23314387903737.949</v>
      </c>
      <c r="K277" s="4">
        <f>AdminY1*(1+AdminGrowth)^275</f>
        <v>182029989264.8287</v>
      </c>
      <c r="L277" s="4">
        <f t="shared" si="18"/>
        <v>70135341867396.062</v>
      </c>
      <c r="M277" s="4">
        <f t="shared" si="19"/>
        <v>1.804673994639692E+16</v>
      </c>
    </row>
    <row r="278" spans="1:13" x14ac:dyDescent="0.2">
      <c r="A278" s="3">
        <f>StartYear+276</f>
        <v>2301</v>
      </c>
      <c r="B278" s="4">
        <f>FacultyFTE*HoursPerWeek*WeeksPerYear*RatePerHour*(1+PracticeGrowth)^276</f>
        <v>203066849544.93613</v>
      </c>
      <c r="C278" s="4">
        <f>StudentsY1*(1+StudentGrowth)^276*CreditsPerStudent*TuitionPerCredit</f>
        <v>1269167809655.8508</v>
      </c>
      <c r="D278" s="4">
        <f>SimRevY1*(1+SimGrowth)^276</f>
        <v>1.3284680317346134E+16</v>
      </c>
      <c r="E278" s="4">
        <f>FacDevRevY1*(1+FacDevGrowth)^276</f>
        <v>6642340158673067</v>
      </c>
      <c r="F278" s="4">
        <f t="shared" si="16"/>
        <v>1.9928289643828856E+16</v>
      </c>
      <c r="G278" s="4">
        <f t="shared" si="17"/>
        <v>1.99284927106784E+16</v>
      </c>
      <c r="H278" s="4">
        <f>SalaryFTECount*SalaryPerFTE*(1+SalaryGrowth)^276</f>
        <v>10554093594.082441</v>
      </c>
      <c r="I278" s="4">
        <f>SimOpsY1*(1+SimOpsGrowth)^276</f>
        <v>50359077872073.961</v>
      </c>
      <c r="J278" s="4">
        <f>TrainDevY1*(1+TrainDevGrowth)^276</f>
        <v>25179538936036.98</v>
      </c>
      <c r="K278" s="4">
        <f>AdminY1*(1+AdminGrowth)^276</f>
        <v>192951788620.71844</v>
      </c>
      <c r="L278" s="4">
        <f t="shared" si="18"/>
        <v>75742122690325.75</v>
      </c>
      <c r="M278" s="4">
        <f t="shared" si="19"/>
        <v>1.9852750587988076E+16</v>
      </c>
    </row>
    <row r="279" spans="1:13" x14ac:dyDescent="0.2">
      <c r="A279" s="3">
        <f>StartYear+277</f>
        <v>2302</v>
      </c>
      <c r="B279" s="4">
        <f>FacultyFTE*HoursPerWeek*WeeksPerYear*RatePerHour*(1+PracticeGrowth)^277</f>
        <v>213220192022.18298</v>
      </c>
      <c r="C279" s="4">
        <f>StudentsY1*(1+StudentGrowth)^277*CreditsPerStudent*TuitionPerCredit</f>
        <v>1332626200138.6436</v>
      </c>
      <c r="D279" s="4">
        <f>SimRevY1*(1+SimGrowth)^277</f>
        <v>1.461314834908075E+16</v>
      </c>
      <c r="E279" s="4">
        <f>FacDevRevY1*(1+FacDevGrowth)^277</f>
        <v>7306574174540375</v>
      </c>
      <c r="F279" s="4">
        <f t="shared" si="16"/>
        <v>2.1921055149821264E+16</v>
      </c>
      <c r="G279" s="4">
        <f t="shared" si="17"/>
        <v>2.1921268370013288E+16</v>
      </c>
      <c r="H279" s="4">
        <f>SalaryFTECount*SalaryPerFTE*(1+SalaryGrowth)^277</f>
        <v>10976257337.845741</v>
      </c>
      <c r="I279" s="4">
        <f>SimOpsY1*(1+SimOpsGrowth)^277</f>
        <v>54387804101839.883</v>
      </c>
      <c r="J279" s="4">
        <f>TrainDevY1*(1+TrainDevGrowth)^277</f>
        <v>27193902050919.941</v>
      </c>
      <c r="K279" s="4">
        <f>AdminY1*(1+AdminGrowth)^277</f>
        <v>204528895937.96161</v>
      </c>
      <c r="L279" s="4">
        <f t="shared" si="18"/>
        <v>81797211306035.641</v>
      </c>
      <c r="M279" s="4">
        <f t="shared" si="19"/>
        <v>2.1839471158707252E+16</v>
      </c>
    </row>
    <row r="280" spans="1:13" x14ac:dyDescent="0.2">
      <c r="A280" s="3">
        <f>StartYear+278</f>
        <v>2303</v>
      </c>
      <c r="B280" s="4">
        <f>FacultyFTE*HoursPerWeek*WeeksPerYear*RatePerHour*(1+PracticeGrowth)^278</f>
        <v>223881201623.29211</v>
      </c>
      <c r="C280" s="4">
        <f>StudentsY1*(1+StudentGrowth)^278*CreditsPerStudent*TuitionPerCredit</f>
        <v>1399257510145.5757</v>
      </c>
      <c r="D280" s="4">
        <f>SimRevY1*(1+SimGrowth)^278</f>
        <v>1.6074463183988824E+16</v>
      </c>
      <c r="E280" s="4">
        <f>FacDevRevY1*(1+FacDevGrowth)^278</f>
        <v>8037231591994412</v>
      </c>
      <c r="F280" s="4">
        <f t="shared" si="16"/>
        <v>2.4113094033493384E+16</v>
      </c>
      <c r="G280" s="4">
        <f t="shared" si="17"/>
        <v>2.4113317914695008E+16</v>
      </c>
      <c r="H280" s="4">
        <f>SalaryFTECount*SalaryPerFTE*(1+SalaryGrowth)^278</f>
        <v>11415307631.35957</v>
      </c>
      <c r="I280" s="4">
        <f>SimOpsY1*(1+SimOpsGrowth)^278</f>
        <v>58738828429987.086</v>
      </c>
      <c r="J280" s="4">
        <f>TrainDevY1*(1+TrainDevGrowth)^278</f>
        <v>29369414214993.543</v>
      </c>
      <c r="K280" s="4">
        <f>AdminY1*(1+AdminGrowth)^278</f>
        <v>216800629694.23932</v>
      </c>
      <c r="L280" s="4">
        <f t="shared" si="18"/>
        <v>88336458582306.219</v>
      </c>
      <c r="M280" s="4">
        <f t="shared" si="19"/>
        <v>2.40249814561127E+16</v>
      </c>
    </row>
    <row r="281" spans="1:13" x14ac:dyDescent="0.2">
      <c r="A281" s="3">
        <f>StartYear+279</f>
        <v>2304</v>
      </c>
      <c r="B281" s="4">
        <f>FacultyFTE*HoursPerWeek*WeeksPerYear*RatePerHour*(1+PracticeGrowth)^279</f>
        <v>235075261704.45676</v>
      </c>
      <c r="C281" s="4">
        <f>StudentsY1*(1+StudentGrowth)^279*CreditsPerStudent*TuitionPerCredit</f>
        <v>1469220385652.8547</v>
      </c>
      <c r="D281" s="4">
        <f>SimRevY1*(1+SimGrowth)^279</f>
        <v>1.768190950238771E+16</v>
      </c>
      <c r="E281" s="4">
        <f>FacDevRevY1*(1+FacDevGrowth)^279</f>
        <v>8840954751193855</v>
      </c>
      <c r="F281" s="4">
        <f t="shared" si="16"/>
        <v>2.6524333473967216E+16</v>
      </c>
      <c r="G281" s="4">
        <f t="shared" si="17"/>
        <v>2.652456854922892E+16</v>
      </c>
      <c r="H281" s="4">
        <f>SalaryFTECount*SalaryPerFTE*(1+SalaryGrowth)^279</f>
        <v>11871919936.613953</v>
      </c>
      <c r="I281" s="4">
        <f>SimOpsY1*(1+SimOpsGrowth)^279</f>
        <v>63437934704386.055</v>
      </c>
      <c r="J281" s="4">
        <f>TrainDevY1*(1+TrainDevGrowth)^279</f>
        <v>31718967352193.027</v>
      </c>
      <c r="K281" s="4">
        <f>AdminY1*(1+AdminGrowth)^279</f>
        <v>229808667475.89368</v>
      </c>
      <c r="L281" s="4">
        <f t="shared" si="18"/>
        <v>95398582643991.594</v>
      </c>
      <c r="M281" s="4">
        <f t="shared" si="19"/>
        <v>2.6429169966584928E+16</v>
      </c>
    </row>
    <row r="282" spans="1:13" x14ac:dyDescent="0.2">
      <c r="A282" s="3">
        <f>StartYear+280</f>
        <v>2305</v>
      </c>
      <c r="B282" s="4">
        <f>FacultyFTE*HoursPerWeek*WeeksPerYear*RatePerHour*(1+PracticeGrowth)^280</f>
        <v>246829024789.67957</v>
      </c>
      <c r="C282" s="4">
        <f>StudentsY1*(1+StudentGrowth)^280*CreditsPerStudent*TuitionPerCredit</f>
        <v>1542681404935.4971</v>
      </c>
      <c r="D282" s="4">
        <f>SimRevY1*(1+SimGrowth)^280</f>
        <v>1.9450100452626476E+16</v>
      </c>
      <c r="E282" s="4">
        <f>FacDevRevY1*(1+FacDevGrowth)^280</f>
        <v>9725050226313238</v>
      </c>
      <c r="F282" s="4">
        <f t="shared" si="16"/>
        <v>2.9176693360344648E+16</v>
      </c>
      <c r="G282" s="4">
        <f t="shared" si="17"/>
        <v>2.9176940189369436E+16</v>
      </c>
      <c r="H282" s="4">
        <f>SalaryFTECount*SalaryPerFTE*(1+SalaryGrowth)^280</f>
        <v>12346796734.078512</v>
      </c>
      <c r="I282" s="4">
        <f>SimOpsY1*(1+SimOpsGrowth)^280</f>
        <v>68512969480736.93</v>
      </c>
      <c r="J282" s="4">
        <f>TrainDevY1*(1+TrainDevGrowth)^280</f>
        <v>34256484740368.465</v>
      </c>
      <c r="K282" s="4">
        <f>AdminY1*(1+AdminGrowth)^280</f>
        <v>243597187524.4473</v>
      </c>
      <c r="L282" s="4">
        <f t="shared" si="18"/>
        <v>103025398205363.92</v>
      </c>
      <c r="M282" s="4">
        <f t="shared" si="19"/>
        <v>2.9073914791164072E+16</v>
      </c>
    </row>
    <row r="283" spans="1:13" x14ac:dyDescent="0.2">
      <c r="A283" s="3">
        <f>StartYear+281</f>
        <v>2306</v>
      </c>
      <c r="B283" s="4">
        <f>FacultyFTE*HoursPerWeek*WeeksPerYear*RatePerHour*(1+PracticeGrowth)^281</f>
        <v>259170476029.16351</v>
      </c>
      <c r="C283" s="4">
        <f>StudentsY1*(1+StudentGrowth)^281*CreditsPerStudent*TuitionPerCredit</f>
        <v>1619815475182.2722</v>
      </c>
      <c r="D283" s="4">
        <f>SimRevY1*(1+SimGrowth)^281</f>
        <v>2.1395110497889128E+16</v>
      </c>
      <c r="E283" s="4">
        <f>FacDevRevY1*(1+FacDevGrowth)^281</f>
        <v>1.0697555248944564E+16</v>
      </c>
      <c r="F283" s="4">
        <f t="shared" si="16"/>
        <v>3.2094285562308876E+16</v>
      </c>
      <c r="G283" s="4">
        <f t="shared" si="17"/>
        <v>3.2094544732784904E+16</v>
      </c>
      <c r="H283" s="4">
        <f>SalaryFTECount*SalaryPerFTE*(1+SalaryGrowth)^281</f>
        <v>12840668603.441654</v>
      </c>
      <c r="I283" s="4">
        <f>SimOpsY1*(1+SimOpsGrowth)^281</f>
        <v>73994007039195.906</v>
      </c>
      <c r="J283" s="4">
        <f>TrainDevY1*(1+TrainDevGrowth)^281</f>
        <v>36997003519597.953</v>
      </c>
      <c r="K283" s="4">
        <f>AdminY1*(1+AdminGrowth)^281</f>
        <v>258213018775.91409</v>
      </c>
      <c r="L283" s="4">
        <f t="shared" si="18"/>
        <v>111262064246173.22</v>
      </c>
      <c r="M283" s="4">
        <f t="shared" si="19"/>
        <v>3.1983282668538732E+16</v>
      </c>
    </row>
    <row r="284" spans="1:13" x14ac:dyDescent="0.2">
      <c r="A284" s="3">
        <f>StartYear+282</f>
        <v>2307</v>
      </c>
      <c r="B284" s="4">
        <f>FacultyFTE*HoursPerWeek*WeeksPerYear*RatePerHour*(1+PracticeGrowth)^282</f>
        <v>272128999830.62173</v>
      </c>
      <c r="C284" s="4">
        <f>StudentsY1*(1+StudentGrowth)^282*CreditsPerStudent*TuitionPerCredit</f>
        <v>1700806248941.3857</v>
      </c>
      <c r="D284" s="4">
        <f>SimRevY1*(1+SimGrowth)^282</f>
        <v>2.3534621547678044E+16</v>
      </c>
      <c r="E284" s="4">
        <f>FacDevRevY1*(1+FacDevGrowth)^282</f>
        <v>1.1767310773839022E+16</v>
      </c>
      <c r="F284" s="4">
        <f t="shared" si="16"/>
        <v>3.5303633127766008E+16</v>
      </c>
      <c r="G284" s="4">
        <f t="shared" si="17"/>
        <v>3.530390525676584E+16</v>
      </c>
      <c r="H284" s="4">
        <f>SalaryFTECount*SalaryPerFTE*(1+SalaryGrowth)^282</f>
        <v>13354295347.579319</v>
      </c>
      <c r="I284" s="4">
        <f>SimOpsY1*(1+SimOpsGrowth)^282</f>
        <v>79913527602331.562</v>
      </c>
      <c r="J284" s="4">
        <f>TrainDevY1*(1+TrainDevGrowth)^282</f>
        <v>39956763801165.781</v>
      </c>
      <c r="K284" s="4">
        <f>AdminY1*(1+AdminGrowth)^282</f>
        <v>273705799902.46896</v>
      </c>
      <c r="L284" s="4">
        <f t="shared" si="18"/>
        <v>120157351498747.39</v>
      </c>
      <c r="M284" s="4">
        <f t="shared" si="19"/>
        <v>3.5183747905267092E+16</v>
      </c>
    </row>
    <row r="285" spans="1:13" x14ac:dyDescent="0.2">
      <c r="A285" s="3">
        <f>StartYear+283</f>
        <v>2308</v>
      </c>
      <c r="B285" s="4">
        <f>FacultyFTE*HoursPerWeek*WeeksPerYear*RatePerHour*(1+PracticeGrowth)^283</f>
        <v>285735449822.15283</v>
      </c>
      <c r="C285" s="4">
        <f>StudentsY1*(1+StudentGrowth)^283*CreditsPerStudent*TuitionPerCredit</f>
        <v>1785846561388.4551</v>
      </c>
      <c r="D285" s="4">
        <f>SimRevY1*(1+SimGrowth)^283</f>
        <v>2.5888083702445852E+16</v>
      </c>
      <c r="E285" s="4">
        <f>FacDevRevY1*(1+FacDevGrowth)^283</f>
        <v>1.2944041851222926E+16</v>
      </c>
      <c r="F285" s="4">
        <f t="shared" si="16"/>
        <v>3.8833911400230168E+16</v>
      </c>
      <c r="G285" s="4">
        <f t="shared" si="17"/>
        <v>3.8834197135679992E+16</v>
      </c>
      <c r="H285" s="4">
        <f>SalaryFTECount*SalaryPerFTE*(1+SalaryGrowth)^283</f>
        <v>13888467161.482492</v>
      </c>
      <c r="I285" s="4">
        <f>SimOpsY1*(1+SimOpsGrowth)^283</f>
        <v>86306609810518.094</v>
      </c>
      <c r="J285" s="4">
        <f>TrainDevY1*(1+TrainDevGrowth)^283</f>
        <v>43153304905259.047</v>
      </c>
      <c r="K285" s="4">
        <f>AdminY1*(1+AdminGrowth)^283</f>
        <v>290128147896.61719</v>
      </c>
      <c r="L285" s="4">
        <f t="shared" si="18"/>
        <v>129763931330835.25</v>
      </c>
      <c r="M285" s="4">
        <f t="shared" si="19"/>
        <v>3.870443320434916E+16</v>
      </c>
    </row>
    <row r="286" spans="1:13" x14ac:dyDescent="0.2">
      <c r="A286" s="3">
        <f>StartYear+284</f>
        <v>2309</v>
      </c>
      <c r="B286" s="4">
        <f>FacultyFTE*HoursPerWeek*WeeksPerYear*RatePerHour*(1+PracticeGrowth)^284</f>
        <v>300022222313.26044</v>
      </c>
      <c r="C286" s="4">
        <f>StudentsY1*(1+StudentGrowth)^284*CreditsPerStudent*TuitionPerCredit</f>
        <v>1875138889457.8774</v>
      </c>
      <c r="D286" s="4">
        <f>SimRevY1*(1+SimGrowth)^284</f>
        <v>2.8476892072690436E+16</v>
      </c>
      <c r="E286" s="4">
        <f>FacDevRevY1*(1+FacDevGrowth)^284</f>
        <v>1.4238446036345218E+16</v>
      </c>
      <c r="F286" s="4">
        <f t="shared" si="16"/>
        <v>4.2717213247925112E+16</v>
      </c>
      <c r="G286" s="4">
        <f t="shared" si="17"/>
        <v>4.2717513270147424E+16</v>
      </c>
      <c r="H286" s="4">
        <f>SalaryFTECount*SalaryPerFTE*(1+SalaryGrowth)^284</f>
        <v>14444005847.941793</v>
      </c>
      <c r="I286" s="4">
        <f>SimOpsY1*(1+SimOpsGrowth)^284</f>
        <v>93211138595359.547</v>
      </c>
      <c r="J286" s="4">
        <f>TrainDevY1*(1+TrainDevGrowth)^284</f>
        <v>46605569297679.773</v>
      </c>
      <c r="K286" s="4">
        <f>AdminY1*(1+AdminGrowth)^284</f>
        <v>307535836770.41418</v>
      </c>
      <c r="L286" s="4">
        <f t="shared" si="18"/>
        <v>140138687735657.67</v>
      </c>
      <c r="M286" s="4">
        <f t="shared" si="19"/>
        <v>4.2577374582411768E+16</v>
      </c>
    </row>
    <row r="287" spans="1:13" x14ac:dyDescent="0.2">
      <c r="A287" s="3">
        <f>StartYear+285</f>
        <v>2310</v>
      </c>
      <c r="B287" s="4">
        <f>FacultyFTE*HoursPerWeek*WeeksPerYear*RatePerHour*(1+PracticeGrowth)^285</f>
        <v>315023333428.92346</v>
      </c>
      <c r="C287" s="4">
        <f>StudentsY1*(1+StudentGrowth)^285*CreditsPerStudent*TuitionPerCredit</f>
        <v>1968895833930.7717</v>
      </c>
      <c r="D287" s="4">
        <f>SimRevY1*(1+SimGrowth)^285</f>
        <v>3.132458127995948E+16</v>
      </c>
      <c r="E287" s="4">
        <f>FacDevRevY1*(1+FacDevGrowth)^285</f>
        <v>1.566229063997974E+16</v>
      </c>
      <c r="F287" s="4">
        <f t="shared" si="16"/>
        <v>4.6988840815773152E+16</v>
      </c>
      <c r="G287" s="4">
        <f t="shared" si="17"/>
        <v>4.6989155839106584E+16</v>
      </c>
      <c r="H287" s="4">
        <f>SalaryFTECount*SalaryPerFTE*(1+SalaryGrowth)^285</f>
        <v>15021766081.859467</v>
      </c>
      <c r="I287" s="4">
        <f>SimOpsY1*(1+SimOpsGrowth)^285</f>
        <v>100668029682988.31</v>
      </c>
      <c r="J287" s="4">
        <f>TrainDevY1*(1+TrainDevGrowth)^285</f>
        <v>50334014841494.156</v>
      </c>
      <c r="K287" s="4">
        <f>AdminY1*(1+AdminGrowth)^285</f>
        <v>325987986976.6391</v>
      </c>
      <c r="L287" s="4">
        <f t="shared" si="18"/>
        <v>151343054277540.94</v>
      </c>
      <c r="M287" s="4">
        <f t="shared" si="19"/>
        <v>4.683781278482904E+16</v>
      </c>
    </row>
    <row r="288" spans="1:13" x14ac:dyDescent="0.2">
      <c r="A288" s="3">
        <f>StartYear+286</f>
        <v>2311</v>
      </c>
      <c r="B288" s="4">
        <f>FacultyFTE*HoursPerWeek*WeeksPerYear*RatePerHour*(1+PracticeGrowth)^286</f>
        <v>330774500100.36957</v>
      </c>
      <c r="C288" s="4">
        <f>StudentsY1*(1+StudentGrowth)^286*CreditsPerStudent*TuitionPerCredit</f>
        <v>2067340625627.3098</v>
      </c>
      <c r="D288" s="4">
        <f>SimRevY1*(1+SimGrowth)^286</f>
        <v>3.445703940795544E+16</v>
      </c>
      <c r="E288" s="4">
        <f>FacDevRevY1*(1+FacDevGrowth)^286</f>
        <v>1.722851970397772E+16</v>
      </c>
      <c r="F288" s="4">
        <f t="shared" si="16"/>
        <v>5.1687626452558784E+16</v>
      </c>
      <c r="G288" s="4">
        <f t="shared" si="17"/>
        <v>5.1687957227058888E+16</v>
      </c>
      <c r="H288" s="4">
        <f>SalaryFTECount*SalaryPerFTE*(1+SalaryGrowth)^286</f>
        <v>15622636725.133844</v>
      </c>
      <c r="I288" s="4">
        <f>SimOpsY1*(1+SimOpsGrowth)^286</f>
        <v>108721472057627.39</v>
      </c>
      <c r="J288" s="4">
        <f>TrainDevY1*(1+TrainDevGrowth)^286</f>
        <v>54360736028813.695</v>
      </c>
      <c r="K288" s="4">
        <f>AdminY1*(1+AdminGrowth)^286</f>
        <v>345547266195.23743</v>
      </c>
      <c r="L288" s="4">
        <f t="shared" si="18"/>
        <v>163443377989361.47</v>
      </c>
      <c r="M288" s="4">
        <f t="shared" si="19"/>
        <v>5.1524513849069528E+16</v>
      </c>
    </row>
    <row r="289" spans="1:13" x14ac:dyDescent="0.2">
      <c r="A289" s="3">
        <f>StartYear+287</f>
        <v>2312</v>
      </c>
      <c r="B289" s="4">
        <f>FacultyFTE*HoursPerWeek*WeeksPerYear*RatePerHour*(1+PracticeGrowth)^287</f>
        <v>347313225105.38818</v>
      </c>
      <c r="C289" s="4">
        <f>StudentsY1*(1+StudentGrowth)^287*CreditsPerStudent*TuitionPerCredit</f>
        <v>2170707656908.6763</v>
      </c>
      <c r="D289" s="4">
        <f>SimRevY1*(1+SimGrowth)^287</f>
        <v>3.7902743348750976E+16</v>
      </c>
      <c r="E289" s="4">
        <f>FacDevRevY1*(1+FacDevGrowth)^287</f>
        <v>1.8951371674375488E+16</v>
      </c>
      <c r="F289" s="4">
        <f t="shared" si="16"/>
        <v>5.6856285730783376E+16</v>
      </c>
      <c r="G289" s="4">
        <f t="shared" si="17"/>
        <v>5.685663304400848E+16</v>
      </c>
      <c r="H289" s="4">
        <f>SalaryFTECount*SalaryPerFTE*(1+SalaryGrowth)^287</f>
        <v>16247542194.139198</v>
      </c>
      <c r="I289" s="4">
        <f>SimOpsY1*(1+SimOpsGrowth)^287</f>
        <v>117419189822237.61</v>
      </c>
      <c r="J289" s="4">
        <f>TrainDevY1*(1+TrainDevGrowth)^287</f>
        <v>58709594911118.805</v>
      </c>
      <c r="K289" s="4">
        <f>AdminY1*(1+AdminGrowth)^287</f>
        <v>366280102166.95172</v>
      </c>
      <c r="L289" s="4">
        <f t="shared" si="18"/>
        <v>176511312377717.5</v>
      </c>
      <c r="M289" s="4">
        <f t="shared" si="19"/>
        <v>5.668012173163076E+16</v>
      </c>
    </row>
    <row r="290" spans="1:13" x14ac:dyDescent="0.2">
      <c r="A290" s="3">
        <f>StartYear+288</f>
        <v>2313</v>
      </c>
      <c r="B290" s="4">
        <f>FacultyFTE*HoursPerWeek*WeeksPerYear*RatePerHour*(1+PracticeGrowth)^288</f>
        <v>364678886360.65753</v>
      </c>
      <c r="C290" s="4">
        <f>StudentsY1*(1+StudentGrowth)^288*CreditsPerStudent*TuitionPerCredit</f>
        <v>2279243039754.1099</v>
      </c>
      <c r="D290" s="4">
        <f>SimRevY1*(1+SimGrowth)^288</f>
        <v>4.169301768362608E+16</v>
      </c>
      <c r="E290" s="4">
        <f>FacDevRevY1*(1+FacDevGrowth)^288</f>
        <v>2.084650884181304E+16</v>
      </c>
      <c r="F290" s="4">
        <f t="shared" si="16"/>
        <v>6.2541805768478872E+16</v>
      </c>
      <c r="G290" s="4">
        <f t="shared" si="17"/>
        <v>6.2542170447365232E+16</v>
      </c>
      <c r="H290" s="4">
        <f>SalaryFTECount*SalaryPerFTE*(1+SalaryGrowth)^288</f>
        <v>16897443881.904766</v>
      </c>
      <c r="I290" s="4">
        <f>SimOpsY1*(1+SimOpsGrowth)^288</f>
        <v>126812725008016.61</v>
      </c>
      <c r="J290" s="4">
        <f>TrainDevY1*(1+TrainDevGrowth)^288</f>
        <v>63406362504008.305</v>
      </c>
      <c r="K290" s="4">
        <f>AdminY1*(1+AdminGrowth)^288</f>
        <v>388256908296.96881</v>
      </c>
      <c r="L290" s="4">
        <f t="shared" si="18"/>
        <v>190624241864203.78</v>
      </c>
      <c r="M290" s="4">
        <f t="shared" si="19"/>
        <v>6.2351546205501032E+16</v>
      </c>
    </row>
    <row r="291" spans="1:13" x14ac:dyDescent="0.2">
      <c r="A291" s="3">
        <f>StartYear+289</f>
        <v>2314</v>
      </c>
      <c r="B291" s="4">
        <f>FacultyFTE*HoursPerWeek*WeeksPerYear*RatePerHour*(1+PracticeGrowth)^289</f>
        <v>382912830678.69049</v>
      </c>
      <c r="C291" s="4">
        <f>StudentsY1*(1+StudentGrowth)^289*CreditsPerStudent*TuitionPerCredit</f>
        <v>2393205191741.8154</v>
      </c>
      <c r="D291" s="4">
        <f>SimRevY1*(1+SimGrowth)^289</f>
        <v>4.5862319451988688E+16</v>
      </c>
      <c r="E291" s="4">
        <f>FacDevRevY1*(1+FacDevGrowth)^289</f>
        <v>2.2931159725994344E+16</v>
      </c>
      <c r="F291" s="4">
        <f t="shared" si="16"/>
        <v>6.8795872383174776E+16</v>
      </c>
      <c r="G291" s="4">
        <f t="shared" si="17"/>
        <v>6.8796255296005456E+16</v>
      </c>
      <c r="H291" s="4">
        <f>SalaryFTECount*SalaryPerFTE*(1+SalaryGrowth)^289</f>
        <v>17573341637.180958</v>
      </c>
      <c r="I291" s="4">
        <f>SimOpsY1*(1+SimOpsGrowth)^289</f>
        <v>136957743008657.94</v>
      </c>
      <c r="J291" s="4">
        <f>TrainDevY1*(1+TrainDevGrowth)^289</f>
        <v>68478871504328.969</v>
      </c>
      <c r="K291" s="4">
        <f>AdminY1*(1+AdminGrowth)^289</f>
        <v>411552322794.78693</v>
      </c>
      <c r="L291" s="4">
        <f t="shared" si="18"/>
        <v>205865740177418.88</v>
      </c>
      <c r="M291" s="4">
        <f t="shared" si="19"/>
        <v>6.859038955582804E+16</v>
      </c>
    </row>
    <row r="292" spans="1:13" x14ac:dyDescent="0.2">
      <c r="A292" s="3">
        <f>StartYear+290</f>
        <v>2315</v>
      </c>
      <c r="B292" s="4">
        <f>FacultyFTE*HoursPerWeek*WeeksPerYear*RatePerHour*(1+PracticeGrowth)^290</f>
        <v>402058472212.625</v>
      </c>
      <c r="C292" s="4">
        <f>StudentsY1*(1+StudentGrowth)^290*CreditsPerStudent*TuitionPerCredit</f>
        <v>2512865451328.9062</v>
      </c>
      <c r="D292" s="4">
        <f>SimRevY1*(1+SimGrowth)^290</f>
        <v>5.0448551397187568E+16</v>
      </c>
      <c r="E292" s="4">
        <f>FacDevRevY1*(1+FacDevGrowth)^290</f>
        <v>2.5224275698593784E+16</v>
      </c>
      <c r="F292" s="4">
        <f t="shared" si="16"/>
        <v>7.5675339961232672E+16</v>
      </c>
      <c r="G292" s="4">
        <f t="shared" si="17"/>
        <v>7.567574201970488E+16</v>
      </c>
      <c r="H292" s="4">
        <f>SalaryFTECount*SalaryPerFTE*(1+SalaryGrowth)^290</f>
        <v>18276275302.668198</v>
      </c>
      <c r="I292" s="4">
        <f>SimOpsY1*(1+SimOpsGrowth)^290</f>
        <v>147914362449350.56</v>
      </c>
      <c r="J292" s="4">
        <f>TrainDevY1*(1+TrainDevGrowth)^290</f>
        <v>73957181224675.281</v>
      </c>
      <c r="K292" s="4">
        <f>AdminY1*(1+AdminGrowth)^290</f>
        <v>436245462162.47418</v>
      </c>
      <c r="L292" s="4">
        <f t="shared" si="18"/>
        <v>222326065411490.97</v>
      </c>
      <c r="M292" s="4">
        <f t="shared" si="19"/>
        <v>7.5453415954293392E+16</v>
      </c>
    </row>
    <row r="293" spans="1:13" x14ac:dyDescent="0.2">
      <c r="A293" s="3">
        <f>StartYear+291</f>
        <v>2316</v>
      </c>
      <c r="B293" s="4">
        <f>FacultyFTE*HoursPerWeek*WeeksPerYear*RatePerHour*(1+PracticeGrowth)^291</f>
        <v>422161395823.25629</v>
      </c>
      <c r="C293" s="4">
        <f>StudentsY1*(1+StudentGrowth)^291*CreditsPerStudent*TuitionPerCredit</f>
        <v>2638508723895.3516</v>
      </c>
      <c r="D293" s="4">
        <f>SimRevY1*(1+SimGrowth)^291</f>
        <v>5.549340653690632E+16</v>
      </c>
      <c r="E293" s="4">
        <f>FacDevRevY1*(1+FacDevGrowth)^291</f>
        <v>2.774670326845316E+16</v>
      </c>
      <c r="F293" s="4">
        <f t="shared" si="16"/>
        <v>8.3242748314083376E+16</v>
      </c>
      <c r="G293" s="4">
        <f t="shared" si="17"/>
        <v>8.32431704754792E+16</v>
      </c>
      <c r="H293" s="4">
        <f>SalaryFTECount*SalaryPerFTE*(1+SalaryGrowth)^291</f>
        <v>19007326314.774925</v>
      </c>
      <c r="I293" s="4">
        <f>SimOpsY1*(1+SimOpsGrowth)^291</f>
        <v>159747511445298.66</v>
      </c>
      <c r="J293" s="4">
        <f>TrainDevY1*(1+TrainDevGrowth)^291</f>
        <v>79873755722649.328</v>
      </c>
      <c r="K293" s="4">
        <f>AdminY1*(1+AdminGrowth)^291</f>
        <v>462420189892.22272</v>
      </c>
      <c r="L293" s="4">
        <f t="shared" si="18"/>
        <v>240102694684154.97</v>
      </c>
      <c r="M293" s="4">
        <f t="shared" si="19"/>
        <v>8.300306778079504E+16</v>
      </c>
    </row>
    <row r="294" spans="1:13" x14ac:dyDescent="0.2">
      <c r="A294" s="3">
        <f>StartYear+292</f>
        <v>2317</v>
      </c>
      <c r="B294" s="4">
        <f>FacultyFTE*HoursPerWeek*WeeksPerYear*RatePerHour*(1+PracticeGrowth)^292</f>
        <v>443269465614.41901</v>
      </c>
      <c r="C294" s="4">
        <f>StudentsY1*(1+StudentGrowth)^292*CreditsPerStudent*TuitionPerCredit</f>
        <v>2770434160090.1191</v>
      </c>
      <c r="D294" s="4">
        <f>SimRevY1*(1+SimGrowth)^292</f>
        <v>6.104274719059696E+16</v>
      </c>
      <c r="E294" s="4">
        <f>FacDevRevY1*(1+FacDevGrowth)^292</f>
        <v>3.052137359529848E+16</v>
      </c>
      <c r="F294" s="4">
        <f t="shared" si="16"/>
        <v>9.156689122005552E+16</v>
      </c>
      <c r="G294" s="4">
        <f t="shared" si="17"/>
        <v>9.1567334489521136E+16</v>
      </c>
      <c r="H294" s="4">
        <f>SalaryFTECount*SalaryPerFTE*(1+SalaryGrowth)^292</f>
        <v>19767619367.365925</v>
      </c>
      <c r="I294" s="4">
        <f>SimOpsY1*(1+SimOpsGrowth)^292</f>
        <v>172527312360922.56</v>
      </c>
      <c r="J294" s="4">
        <f>TrainDevY1*(1+TrainDevGrowth)^292</f>
        <v>86263656180461.281</v>
      </c>
      <c r="K294" s="4">
        <f>AdminY1*(1+AdminGrowth)^292</f>
        <v>490165401285.7561</v>
      </c>
      <c r="L294" s="4">
        <f t="shared" si="18"/>
        <v>259300901562036.97</v>
      </c>
      <c r="M294" s="4">
        <f t="shared" si="19"/>
        <v>9.1308033587959104E+16</v>
      </c>
    </row>
    <row r="295" spans="1:13" x14ac:dyDescent="0.2">
      <c r="A295" s="3">
        <f>StartYear+293</f>
        <v>2318</v>
      </c>
      <c r="B295" s="4">
        <f>FacultyFTE*HoursPerWeek*WeeksPerYear*RatePerHour*(1+PracticeGrowth)^293</f>
        <v>465432938895.14001</v>
      </c>
      <c r="C295" s="4">
        <f>StudentsY1*(1+StudentGrowth)^293*CreditsPerStudent*TuitionPerCredit</f>
        <v>2908955868094.6255</v>
      </c>
      <c r="D295" s="4">
        <f>SimRevY1*(1+SimGrowth)^293</f>
        <v>6.7147021909656664E+16</v>
      </c>
      <c r="E295" s="4">
        <f>FacDevRevY1*(1+FacDevGrowth)^293</f>
        <v>3.3573510954828332E+16</v>
      </c>
      <c r="F295" s="4">
        <f t="shared" si="16"/>
        <v>1.0072344182035309E+17</v>
      </c>
      <c r="G295" s="4">
        <f t="shared" si="17"/>
        <v>1.0072390725329198E+17</v>
      </c>
      <c r="H295" s="4">
        <f>SalaryFTECount*SalaryPerFTE*(1+SalaryGrowth)^293</f>
        <v>20558324142.060566</v>
      </c>
      <c r="I295" s="4">
        <f>SimOpsY1*(1+SimOpsGrowth)^293</f>
        <v>186329497349796.34</v>
      </c>
      <c r="J295" s="4">
        <f>TrainDevY1*(1+TrainDevGrowth)^293</f>
        <v>93164748674898.172</v>
      </c>
      <c r="K295" s="4">
        <f>AdminY1*(1+AdminGrowth)^293</f>
        <v>519575325362.90149</v>
      </c>
      <c r="L295" s="4">
        <f t="shared" si="18"/>
        <v>280034379674199.47</v>
      </c>
      <c r="M295" s="4">
        <f t="shared" si="19"/>
        <v>1.0044387287361779E+17</v>
      </c>
    </row>
    <row r="296" spans="1:13" x14ac:dyDescent="0.2">
      <c r="A296" s="3">
        <f>StartYear+294</f>
        <v>2319</v>
      </c>
      <c r="B296" s="4">
        <f>FacultyFTE*HoursPerWeek*WeeksPerYear*RatePerHour*(1+PracticeGrowth)^294</f>
        <v>488704585839.89697</v>
      </c>
      <c r="C296" s="4">
        <f>StudentsY1*(1+StudentGrowth)^294*CreditsPerStudent*TuitionPerCredit</f>
        <v>3054403661499.3564</v>
      </c>
      <c r="D296" s="4">
        <f>SimRevY1*(1+SimGrowth)^294</f>
        <v>7.3861724100622336E+16</v>
      </c>
      <c r="E296" s="4">
        <f>FacDevRevY1*(1+FacDevGrowth)^294</f>
        <v>3.6930862050311168E+16</v>
      </c>
      <c r="F296" s="4">
        <f t="shared" si="16"/>
        <v>1.1079564055459501E+17</v>
      </c>
      <c r="G296" s="4">
        <f t="shared" si="17"/>
        <v>1.1079612925918085E+17</v>
      </c>
      <c r="H296" s="4">
        <f>SalaryFTECount*SalaryPerFTE*(1+SalaryGrowth)^294</f>
        <v>21380657107.742985</v>
      </c>
      <c r="I296" s="4">
        <f>SimOpsY1*(1+SimOpsGrowth)^294</f>
        <v>201235857137780.09</v>
      </c>
      <c r="J296" s="4">
        <f>TrainDevY1*(1+TrainDevGrowth)^294</f>
        <v>100617928568890.05</v>
      </c>
      <c r="K296" s="4">
        <f>AdminY1*(1+AdminGrowth)^294</f>
        <v>550749844884.67566</v>
      </c>
      <c r="L296" s="4">
        <f t="shared" si="18"/>
        <v>302425916208662.56</v>
      </c>
      <c r="M296" s="4">
        <f t="shared" si="19"/>
        <v>1.1049370334297219E+17</v>
      </c>
    </row>
    <row r="297" spans="1:13" x14ac:dyDescent="0.2">
      <c r="A297" s="3">
        <f>StartYear+295</f>
        <v>2320</v>
      </c>
      <c r="B297" s="4">
        <f>FacultyFTE*HoursPerWeek*WeeksPerYear*RatePerHour*(1+PracticeGrowth)^295</f>
        <v>513139815131.89185</v>
      </c>
      <c r="C297" s="4">
        <f>StudentsY1*(1+StudentGrowth)^295*CreditsPerStudent*TuitionPerCredit</f>
        <v>3207123844574.3242</v>
      </c>
      <c r="D297" s="4">
        <f>SimRevY1*(1+SimGrowth)^295</f>
        <v>8.1247896510684576E+16</v>
      </c>
      <c r="E297" s="4">
        <f>FacDevRevY1*(1+FacDevGrowth)^295</f>
        <v>4.0623948255342288E+16</v>
      </c>
      <c r="F297" s="4">
        <f t="shared" si="16"/>
        <v>1.2187505188987144E+17</v>
      </c>
      <c r="G297" s="4">
        <f t="shared" si="17"/>
        <v>1.2187556502968658E+17</v>
      </c>
      <c r="H297" s="4">
        <f>SalaryFTECount*SalaryPerFTE*(1+SalaryGrowth)^295</f>
        <v>22235883392.052704</v>
      </c>
      <c r="I297" s="4">
        <f>SimOpsY1*(1+SimOpsGrowth)^295</f>
        <v>217334725708802.5</v>
      </c>
      <c r="J297" s="4">
        <f>TrainDevY1*(1+TrainDevGrowth)^295</f>
        <v>108667362854401.25</v>
      </c>
      <c r="K297" s="4">
        <f>AdminY1*(1+AdminGrowth)^295</f>
        <v>583794835577.75623</v>
      </c>
      <c r="L297" s="4">
        <f t="shared" si="18"/>
        <v>326608119282173.56</v>
      </c>
      <c r="M297" s="4">
        <f t="shared" si="19"/>
        <v>1.215489569104044E+17</v>
      </c>
    </row>
    <row r="298" spans="1:13" x14ac:dyDescent="0.2">
      <c r="A298" s="3">
        <f>StartYear+296</f>
        <v>2321</v>
      </c>
      <c r="B298" s="4">
        <f>FacultyFTE*HoursPerWeek*WeeksPerYear*RatePerHour*(1+PracticeGrowth)^296</f>
        <v>538796805888.48639</v>
      </c>
      <c r="C298" s="4">
        <f>StudentsY1*(1+StudentGrowth)^296*CreditsPerStudent*TuitionPerCredit</f>
        <v>3367480036803.04</v>
      </c>
      <c r="D298" s="4">
        <f>SimRevY1*(1+SimGrowth)^296</f>
        <v>8.9372686161753024E+16</v>
      </c>
      <c r="E298" s="4">
        <f>FacDevRevY1*(1+FacDevGrowth)^296</f>
        <v>4.4686343080876512E+16</v>
      </c>
      <c r="F298" s="4">
        <f t="shared" si="16"/>
        <v>1.3406239672266634E+17</v>
      </c>
      <c r="G298" s="4">
        <f t="shared" si="17"/>
        <v>1.3406293551947222E+17</v>
      </c>
      <c r="H298" s="4">
        <f>SalaryFTECount*SalaryPerFTE*(1+SalaryGrowth)^296</f>
        <v>23125318727.734818</v>
      </c>
      <c r="I298" s="4">
        <f>SimOpsY1*(1+SimOpsGrowth)^296</f>
        <v>234721503765506.72</v>
      </c>
      <c r="J298" s="4">
        <f>TrainDevY1*(1+TrainDevGrowth)^296</f>
        <v>117360751882753.36</v>
      </c>
      <c r="K298" s="4">
        <f>AdminY1*(1+AdminGrowth)^296</f>
        <v>618822525712.42151</v>
      </c>
      <c r="L298" s="4">
        <f t="shared" si="18"/>
        <v>352724203492700.25</v>
      </c>
      <c r="M298" s="4">
        <f t="shared" si="19"/>
        <v>1.3371021131597952E+17</v>
      </c>
    </row>
    <row r="299" spans="1:13" x14ac:dyDescent="0.2">
      <c r="A299" s="3">
        <f>StartYear+297</f>
        <v>2322</v>
      </c>
      <c r="B299" s="4">
        <f>FacultyFTE*HoursPerWeek*WeeksPerYear*RatePerHour*(1+PracticeGrowth)^297</f>
        <v>565736646182.91077</v>
      </c>
      <c r="C299" s="4">
        <f>StudentsY1*(1+StudentGrowth)^297*CreditsPerStudent*TuitionPerCredit</f>
        <v>3535854038643.1919</v>
      </c>
      <c r="D299" s="4">
        <f>SimRevY1*(1+SimGrowth)^297</f>
        <v>9.8309954777928336E+16</v>
      </c>
      <c r="E299" s="4">
        <f>FacDevRevY1*(1+FacDevGrowth)^297</f>
        <v>4.9154977388964168E+16</v>
      </c>
      <c r="F299" s="4">
        <f t="shared" si="16"/>
        <v>1.4746846802093114E+17</v>
      </c>
      <c r="G299" s="4">
        <f t="shared" si="17"/>
        <v>1.4746903375757731E+17</v>
      </c>
      <c r="H299" s="4">
        <f>SalaryFTECount*SalaryPerFTE*(1+SalaryGrowth)^297</f>
        <v>24050331476.844212</v>
      </c>
      <c r="I299" s="4">
        <f>SimOpsY1*(1+SimOpsGrowth)^297</f>
        <v>253499224066747.28</v>
      </c>
      <c r="J299" s="4">
        <f>TrainDevY1*(1+TrainDevGrowth)^297</f>
        <v>126749612033373.64</v>
      </c>
      <c r="K299" s="4">
        <f>AdminY1*(1+AdminGrowth)^297</f>
        <v>655951877255.16675</v>
      </c>
      <c r="L299" s="4">
        <f t="shared" si="18"/>
        <v>380928838308852.94</v>
      </c>
      <c r="M299" s="4">
        <f t="shared" si="19"/>
        <v>1.4708810491926845E+17</v>
      </c>
    </row>
    <row r="300" spans="1:13" x14ac:dyDescent="0.2">
      <c r="A300" s="3">
        <f>StartYear+298</f>
        <v>2323</v>
      </c>
      <c r="B300" s="4">
        <f>FacultyFTE*HoursPerWeek*WeeksPerYear*RatePerHour*(1+PracticeGrowth)^298</f>
        <v>594023478492.05627</v>
      </c>
      <c r="C300" s="4">
        <f>StudentsY1*(1+StudentGrowth)^298*CreditsPerStudent*TuitionPerCredit</f>
        <v>3712646740575.3521</v>
      </c>
      <c r="D300" s="4">
        <f>SimRevY1*(1+SimGrowth)^298</f>
        <v>1.0814095025572118E+17</v>
      </c>
      <c r="E300" s="4">
        <f>FacDevRevY1*(1+FacDevGrowth)^298</f>
        <v>5.4070475127860592E+16</v>
      </c>
      <c r="F300" s="4">
        <f t="shared" si="16"/>
        <v>1.6221513803032237E+17</v>
      </c>
      <c r="G300" s="4">
        <f t="shared" si="17"/>
        <v>1.6221573205380086E+17</v>
      </c>
      <c r="H300" s="4">
        <f>SalaryFTECount*SalaryPerFTE*(1+SalaryGrowth)^298</f>
        <v>25012344735.917976</v>
      </c>
      <c r="I300" s="4">
        <f>SimOpsY1*(1+SimOpsGrowth)^298</f>
        <v>273779161992087.03</v>
      </c>
      <c r="J300" s="4">
        <f>TrainDevY1*(1+TrainDevGrowth)^298</f>
        <v>136889580996043.52</v>
      </c>
      <c r="K300" s="4">
        <f>AdminY1*(1+AdminGrowth)^298</f>
        <v>695308989890.47693</v>
      </c>
      <c r="L300" s="4">
        <f t="shared" si="18"/>
        <v>411389064322756.94</v>
      </c>
      <c r="M300" s="4">
        <f t="shared" si="19"/>
        <v>1.6180434298947811E+17</v>
      </c>
    </row>
    <row r="301" spans="1:13" x14ac:dyDescent="0.2">
      <c r="A301" s="3">
        <f>StartYear+299</f>
        <v>2324</v>
      </c>
      <c r="B301" s="4">
        <f>FacultyFTE*HoursPerWeek*WeeksPerYear*RatePerHour*(1+PracticeGrowth)^299</f>
        <v>623724652416.6593</v>
      </c>
      <c r="C301" s="4">
        <f>StudentsY1*(1+StudentGrowth)^299*CreditsPerStudent*TuitionPerCredit</f>
        <v>3898279077604.1206</v>
      </c>
      <c r="D301" s="4">
        <f>SimRevY1*(1+SimGrowth)^299</f>
        <v>1.1895504528129331E+17</v>
      </c>
      <c r="E301" s="4">
        <f>FacDevRevY1*(1+FacDevGrowth)^299</f>
        <v>5.9477522640646656E+16</v>
      </c>
      <c r="F301" s="4">
        <f t="shared" si="16"/>
        <v>1.7843646620101757E+17</v>
      </c>
      <c r="G301" s="4">
        <f t="shared" si="17"/>
        <v>1.7843708992566998E+17</v>
      </c>
      <c r="H301" s="4">
        <f>SalaryFTECount*SalaryPerFTE*(1+SalaryGrowth)^299</f>
        <v>26012838525.354702</v>
      </c>
      <c r="I301" s="4">
        <f>SimOpsY1*(1+SimOpsGrowth)^299</f>
        <v>295681494951454</v>
      </c>
      <c r="J301" s="4">
        <f>TrainDevY1*(1+TrainDevGrowth)^299</f>
        <v>147840747475727</v>
      </c>
      <c r="K301" s="4">
        <f>AdminY1*(1+AdminGrowth)^299</f>
        <v>737027529283.90564</v>
      </c>
      <c r="L301" s="4">
        <f t="shared" si="18"/>
        <v>444285282794990.25</v>
      </c>
      <c r="M301" s="4">
        <f t="shared" si="19"/>
        <v>1.7799280464287501E+17</v>
      </c>
    </row>
    <row r="302" spans="1:13" x14ac:dyDescent="0.2">
      <c r="A302" s="3">
        <f>StartYear+300</f>
        <v>2325</v>
      </c>
      <c r="B302" s="4">
        <f>FacultyFTE*HoursPerWeek*WeeksPerYear*RatePerHour*(1+PracticeGrowth)^300</f>
        <v>654910885037.49207</v>
      </c>
      <c r="C302" s="4">
        <f>StudentsY1*(1+StudentGrowth)^300*CreditsPerStudent*TuitionPerCredit</f>
        <v>4093193031484.3252</v>
      </c>
      <c r="D302" s="4">
        <f>SimRevY1*(1+SimGrowth)^300</f>
        <v>1.3085054980942266E+17</v>
      </c>
      <c r="E302" s="4">
        <f>FacDevRevY1*(1+FacDevGrowth)^300</f>
        <v>6.5425274904711328E+16</v>
      </c>
      <c r="F302" s="4">
        <f t="shared" si="16"/>
        <v>1.9627991790716547E+17</v>
      </c>
      <c r="G302" s="4">
        <f t="shared" si="17"/>
        <v>1.962805728180505E+17</v>
      </c>
      <c r="H302" s="4">
        <f>SalaryFTECount*SalaryPerFTE*(1+SalaryGrowth)^300</f>
        <v>27053352066.368893</v>
      </c>
      <c r="I302" s="4">
        <f>SimOpsY1*(1+SimOpsGrowth)^300</f>
        <v>319336014547570.38</v>
      </c>
      <c r="J302" s="4">
        <f>TrainDevY1*(1+TrainDevGrowth)^300</f>
        <v>159668007273785.19</v>
      </c>
      <c r="K302" s="4">
        <f>AdminY1*(1+AdminGrowth)^300</f>
        <v>781249181040.93994</v>
      </c>
      <c r="L302" s="4">
        <f t="shared" si="18"/>
        <v>479812324354462.88</v>
      </c>
      <c r="M302" s="4">
        <f t="shared" si="19"/>
        <v>1.9580076049369603E+17</v>
      </c>
    </row>
    <row r="303" spans="1:13" x14ac:dyDescent="0.2">
      <c r="A303" s="3">
        <f>StartYear+301</f>
        <v>2326</v>
      </c>
      <c r="B303" s="4">
        <f>FacultyFTE*HoursPerWeek*WeeksPerYear*RatePerHour*(1+PracticeGrowth)^301</f>
        <v>687656429289.36682</v>
      </c>
      <c r="C303" s="4">
        <f>StudentsY1*(1+StudentGrowth)^301*CreditsPerStudent*TuitionPerCredit</f>
        <v>4297852683058.5425</v>
      </c>
      <c r="D303" s="4">
        <f>SimRevY1*(1+SimGrowth)^301</f>
        <v>1.4393560479036491E+17</v>
      </c>
      <c r="E303" s="4">
        <f>FacDevRevY1*(1+FacDevGrowth)^301</f>
        <v>7.1967802395182456E+16</v>
      </c>
      <c r="F303" s="4">
        <f t="shared" si="16"/>
        <v>2.1590770503823043E+17</v>
      </c>
      <c r="G303" s="4">
        <f t="shared" si="17"/>
        <v>2.1590839269465971E+17</v>
      </c>
      <c r="H303" s="4">
        <f>SalaryFTECount*SalaryPerFTE*(1+SalaryGrowth)^301</f>
        <v>28135486149.023643</v>
      </c>
      <c r="I303" s="4">
        <f>SimOpsY1*(1+SimOpsGrowth)^301</f>
        <v>344882895711375.94</v>
      </c>
      <c r="J303" s="4">
        <f>TrainDevY1*(1+TrainDevGrowth)^301</f>
        <v>172441447855687.97</v>
      </c>
      <c r="K303" s="4">
        <f>AdminY1*(1+AdminGrowth)^301</f>
        <v>828124131903.39636</v>
      </c>
      <c r="L303" s="4">
        <f t="shared" si="18"/>
        <v>518180603185116.25</v>
      </c>
      <c r="M303" s="4">
        <f t="shared" si="19"/>
        <v>2.1539021209147459E+17</v>
      </c>
    </row>
    <row r="304" spans="1:13" x14ac:dyDescent="0.2">
      <c r="A304" s="3">
        <f>StartYear+302</f>
        <v>2327</v>
      </c>
      <c r="B304" s="4">
        <f>FacultyFTE*HoursPerWeek*WeeksPerYear*RatePerHour*(1+PracticeGrowth)^302</f>
        <v>722039250753.83496</v>
      </c>
      <c r="C304" s="4">
        <f>StudentsY1*(1+StudentGrowth)^302*CreditsPerStudent*TuitionPerCredit</f>
        <v>4512745317211.4688</v>
      </c>
      <c r="D304" s="4">
        <f>SimRevY1*(1+SimGrowth)^302</f>
        <v>1.5832916526940144E+17</v>
      </c>
      <c r="E304" s="4">
        <f>FacDevRevY1*(1+FacDevGrowth)^302</f>
        <v>7.916458263470072E+16</v>
      </c>
      <c r="F304" s="4">
        <f t="shared" si="16"/>
        <v>2.3749826064941939E+17</v>
      </c>
      <c r="G304" s="4">
        <f t="shared" si="17"/>
        <v>2.3749898268867014E+17</v>
      </c>
      <c r="H304" s="4">
        <f>SalaryFTECount*SalaryPerFTE*(1+SalaryGrowth)^302</f>
        <v>29260905594.984596</v>
      </c>
      <c r="I304" s="4">
        <f>SimOpsY1*(1+SimOpsGrowth)^302</f>
        <v>372473527368286.12</v>
      </c>
      <c r="J304" s="4">
        <f>TrainDevY1*(1+TrainDevGrowth)^302</f>
        <v>186236763684143.06</v>
      </c>
      <c r="K304" s="4">
        <f>AdminY1*(1+AdminGrowth)^302</f>
        <v>877811579817.60022</v>
      </c>
      <c r="L304" s="4">
        <f t="shared" si="18"/>
        <v>559617363537841.81</v>
      </c>
      <c r="M304" s="4">
        <f t="shared" si="19"/>
        <v>2.3693936532513229E+17</v>
      </c>
    </row>
    <row r="305" spans="1:13" x14ac:dyDescent="0.2">
      <c r="A305" s="3">
        <f>StartYear+303</f>
        <v>2328</v>
      </c>
      <c r="B305" s="4">
        <f>FacultyFTE*HoursPerWeek*WeeksPerYear*RatePerHour*(1+PracticeGrowth)^303</f>
        <v>758141213291.52698</v>
      </c>
      <c r="C305" s="4">
        <f>StudentsY1*(1+StudentGrowth)^303*CreditsPerStudent*TuitionPerCredit</f>
        <v>4738382583072.0439</v>
      </c>
      <c r="D305" s="4">
        <f>SimRevY1*(1+SimGrowth)^303</f>
        <v>1.7416208179634157E+17</v>
      </c>
      <c r="E305" s="4">
        <f>FacDevRevY1*(1+FacDevGrowth)^303</f>
        <v>8.7081040898170784E+16</v>
      </c>
      <c r="F305" s="4">
        <f t="shared" si="16"/>
        <v>2.6124786107709542E+17</v>
      </c>
      <c r="G305" s="4">
        <f t="shared" si="17"/>
        <v>2.612486192183087E+17</v>
      </c>
      <c r="H305" s="4">
        <f>SalaryFTECount*SalaryPerFTE*(1+SalaryGrowth)^303</f>
        <v>30431341818.783978</v>
      </c>
      <c r="I305" s="4">
        <f>SimOpsY1*(1+SimOpsGrowth)^303</f>
        <v>402271409557749.06</v>
      </c>
      <c r="J305" s="4">
        <f>TrainDevY1*(1+TrainDevGrowth)^303</f>
        <v>201135704778874.53</v>
      </c>
      <c r="K305" s="4">
        <f>AdminY1*(1+AdminGrowth)^303</f>
        <v>930480274606.65662</v>
      </c>
      <c r="L305" s="4">
        <f t="shared" si="18"/>
        <v>604368025953049</v>
      </c>
      <c r="M305" s="4">
        <f t="shared" si="19"/>
        <v>2.6064425119235565E+17</v>
      </c>
    </row>
    <row r="306" spans="1:13" x14ac:dyDescent="0.2">
      <c r="A306" s="3">
        <f>StartYear+304</f>
        <v>2329</v>
      </c>
      <c r="B306" s="4">
        <f>FacultyFTE*HoursPerWeek*WeeksPerYear*RatePerHour*(1+PracticeGrowth)^304</f>
        <v>796048273956.10327</v>
      </c>
      <c r="C306" s="4">
        <f>StudentsY1*(1+StudentGrowth)^304*CreditsPerStudent*TuitionPerCredit</f>
        <v>4975301712225.6445</v>
      </c>
      <c r="D306" s="4">
        <f>SimRevY1*(1+SimGrowth)^304</f>
        <v>1.9157828997597574E+17</v>
      </c>
      <c r="E306" s="4">
        <f>FacDevRevY1*(1+FacDevGrowth)^304</f>
        <v>9.5789144987987872E+16</v>
      </c>
      <c r="F306" s="4">
        <f t="shared" si="16"/>
        <v>2.8737241026567584E+17</v>
      </c>
      <c r="G306" s="4">
        <f t="shared" si="17"/>
        <v>2.8737320631394979E+17</v>
      </c>
      <c r="H306" s="4">
        <f>SalaryFTECount*SalaryPerFTE*(1+SalaryGrowth)^304</f>
        <v>31648595491.535339</v>
      </c>
      <c r="I306" s="4">
        <f>SimOpsY1*(1+SimOpsGrowth)^304</f>
        <v>434453122322368.94</v>
      </c>
      <c r="J306" s="4">
        <f>TrainDevY1*(1+TrainDevGrowth)^304</f>
        <v>217226561161184.47</v>
      </c>
      <c r="K306" s="4">
        <f>AdminY1*(1+AdminGrowth)^304</f>
        <v>986309091083.05579</v>
      </c>
      <c r="L306" s="4">
        <f t="shared" si="18"/>
        <v>652697641170128</v>
      </c>
      <c r="M306" s="4">
        <f t="shared" si="19"/>
        <v>2.8672050867277965E+17</v>
      </c>
    </row>
    <row r="307" spans="1:13" x14ac:dyDescent="0.2">
      <c r="A307" s="3">
        <f>StartYear+305</f>
        <v>2330</v>
      </c>
      <c r="B307" s="4">
        <f>FacultyFTE*HoursPerWeek*WeeksPerYear*RatePerHour*(1+PracticeGrowth)^305</f>
        <v>835850687653.90845</v>
      </c>
      <c r="C307" s="4">
        <f>StudentsY1*(1+StudentGrowth)^305*CreditsPerStudent*TuitionPerCredit</f>
        <v>5224066797836.9277</v>
      </c>
      <c r="D307" s="4">
        <f>SimRevY1*(1+SimGrowth)^305</f>
        <v>2.1073611897357334E+17</v>
      </c>
      <c r="E307" s="4">
        <f>FacDevRevY1*(1+FacDevGrowth)^305</f>
        <v>1.0536805948678667E+17</v>
      </c>
      <c r="F307" s="4">
        <f t="shared" si="16"/>
        <v>3.1610940252715782E+17</v>
      </c>
      <c r="G307" s="4">
        <f t="shared" si="17"/>
        <v>3.161102383778455E+17</v>
      </c>
      <c r="H307" s="4">
        <f>SalaryFTECount*SalaryPerFTE*(1+SalaryGrowth)^305</f>
        <v>32914539311.196754</v>
      </c>
      <c r="I307" s="4">
        <f>SimOpsY1*(1+SimOpsGrowth)^305</f>
        <v>469209372108158.44</v>
      </c>
      <c r="J307" s="4">
        <f>TrainDevY1*(1+TrainDevGrowth)^305</f>
        <v>234604686054079.22</v>
      </c>
      <c r="K307" s="4">
        <f>AdminY1*(1+AdminGrowth)^305</f>
        <v>1045487636548.0392</v>
      </c>
      <c r="L307" s="4">
        <f t="shared" si="18"/>
        <v>704892460338096.88</v>
      </c>
      <c r="M307" s="4">
        <f t="shared" si="19"/>
        <v>3.1540534591750739E+17</v>
      </c>
    </row>
    <row r="308" spans="1:13" x14ac:dyDescent="0.2">
      <c r="A308" s="3">
        <f>StartYear+306</f>
        <v>2331</v>
      </c>
      <c r="B308" s="4">
        <f>FacultyFTE*HoursPerWeek*WeeksPerYear*RatePerHour*(1+PracticeGrowth)^306</f>
        <v>877643222036.60388</v>
      </c>
      <c r="C308" s="4">
        <f>StudentsY1*(1+StudentGrowth)^306*CreditsPerStudent*TuitionPerCredit</f>
        <v>5485270137728.7744</v>
      </c>
      <c r="D308" s="4">
        <f>SimRevY1*(1+SimGrowth)^306</f>
        <v>2.3180973087093072E+17</v>
      </c>
      <c r="E308" s="4">
        <f>FacDevRevY1*(1+FacDevGrowth)^306</f>
        <v>1.1590486543546536E+17</v>
      </c>
      <c r="F308" s="4">
        <f t="shared" si="16"/>
        <v>3.4772008157653382E+17</v>
      </c>
      <c r="G308" s="4">
        <f t="shared" si="17"/>
        <v>3.4772095921975584E+17</v>
      </c>
      <c r="H308" s="4">
        <f>SalaryFTECount*SalaryPerFTE*(1+SalaryGrowth)^306</f>
        <v>34231120883.644627</v>
      </c>
      <c r="I308" s="4">
        <f>SimOpsY1*(1+SimOpsGrowth)^306</f>
        <v>506746121876811.19</v>
      </c>
      <c r="J308" s="4">
        <f>TrainDevY1*(1+TrainDevGrowth)^306</f>
        <v>253373060938405.59</v>
      </c>
      <c r="K308" s="4">
        <f>AdminY1*(1+AdminGrowth)^306</f>
        <v>1108216894740.9214</v>
      </c>
      <c r="L308" s="4">
        <f t="shared" si="18"/>
        <v>761261630830841.25</v>
      </c>
      <c r="M308" s="4">
        <f t="shared" si="19"/>
        <v>3.4695969758892499E+17</v>
      </c>
    </row>
    <row r="309" spans="1:13" x14ac:dyDescent="0.2">
      <c r="A309" s="3">
        <f>StartYear+307</f>
        <v>2332</v>
      </c>
      <c r="B309" s="4">
        <f>FacultyFTE*HoursPerWeek*WeeksPerYear*RatePerHour*(1+PracticeGrowth)^307</f>
        <v>921525383138.43408</v>
      </c>
      <c r="C309" s="4">
        <f>StudentsY1*(1+StudentGrowth)^307*CreditsPerStudent*TuitionPerCredit</f>
        <v>5759533644615.2129</v>
      </c>
      <c r="D309" s="4">
        <f>SimRevY1*(1+SimGrowth)^307</f>
        <v>2.5499070395802378E+17</v>
      </c>
      <c r="E309" s="4">
        <f>FacDevRevY1*(1+FacDevGrowth)^307</f>
        <v>1.2749535197901189E+17</v>
      </c>
      <c r="F309" s="4">
        <f t="shared" si="16"/>
        <v>3.8249181547068026E+17</v>
      </c>
      <c r="G309" s="4">
        <f t="shared" si="17"/>
        <v>3.8249273699606342E+17</v>
      </c>
      <c r="H309" s="4">
        <f>SalaryFTECount*SalaryPerFTE*(1+SalaryGrowth)^307</f>
        <v>35600365718.990417</v>
      </c>
      <c r="I309" s="4">
        <f>SimOpsY1*(1+SimOpsGrowth)^307</f>
        <v>547285811626956.12</v>
      </c>
      <c r="J309" s="4">
        <f>TrainDevY1*(1+TrainDevGrowth)^307</f>
        <v>273642905813478.06</v>
      </c>
      <c r="K309" s="4">
        <f>AdminY1*(1+AdminGrowth)^307</f>
        <v>1174709908425.377</v>
      </c>
      <c r="L309" s="4">
        <f t="shared" si="18"/>
        <v>822139027714578.62</v>
      </c>
      <c r="M309" s="4">
        <f t="shared" si="19"/>
        <v>3.8167059796834886E+17</v>
      </c>
    </row>
    <row r="310" spans="1:13" x14ac:dyDescent="0.2">
      <c r="A310" s="3">
        <f>StartYear+308</f>
        <v>2333</v>
      </c>
      <c r="B310" s="4">
        <f>FacultyFTE*HoursPerWeek*WeeksPerYear*RatePerHour*(1+PracticeGrowth)^308</f>
        <v>967601652295.35583</v>
      </c>
      <c r="C310" s="4">
        <f>StudentsY1*(1+StudentGrowth)^308*CreditsPerStudent*TuitionPerCredit</f>
        <v>6047510326845.9736</v>
      </c>
      <c r="D310" s="4">
        <f>SimRevY1*(1+SimGrowth)^308</f>
        <v>2.8048977435382618E+17</v>
      </c>
      <c r="E310" s="4">
        <f>FacDevRevY1*(1+FacDevGrowth)^308</f>
        <v>1.4024488717691309E+17</v>
      </c>
      <c r="F310" s="4">
        <f t="shared" si="16"/>
        <v>4.2074070904106611E+17</v>
      </c>
      <c r="G310" s="4">
        <f t="shared" si="17"/>
        <v>4.207416766427184E+17</v>
      </c>
      <c r="H310" s="4">
        <f>SalaryFTECount*SalaryPerFTE*(1+SalaryGrowth)^308</f>
        <v>37024380347.750031</v>
      </c>
      <c r="I310" s="4">
        <f>SimOpsY1*(1+SimOpsGrowth)^308</f>
        <v>591068676557112.62</v>
      </c>
      <c r="J310" s="4">
        <f>TrainDevY1*(1+TrainDevGrowth)^308</f>
        <v>295534338278556.31</v>
      </c>
      <c r="K310" s="4">
        <f>AdminY1*(1+AdminGrowth)^308</f>
        <v>1245192502930.8994</v>
      </c>
      <c r="L310" s="4">
        <f t="shared" si="18"/>
        <v>887885231718947.62</v>
      </c>
      <c r="M310" s="4">
        <f t="shared" si="19"/>
        <v>4.1985379141099942E+17</v>
      </c>
    </row>
    <row r="311" spans="1:13" x14ac:dyDescent="0.2">
      <c r="A311" s="3">
        <f>StartYear+309</f>
        <v>2334</v>
      </c>
      <c r="B311" s="4">
        <f>FacultyFTE*HoursPerWeek*WeeksPerYear*RatePerHour*(1+PracticeGrowth)^309</f>
        <v>1015981734910.1235</v>
      </c>
      <c r="C311" s="4">
        <f>StudentsY1*(1+StudentGrowth)^309*CreditsPerStudent*TuitionPerCredit</f>
        <v>6349885843188.2725</v>
      </c>
      <c r="D311" s="4">
        <f>SimRevY1*(1+SimGrowth)^309</f>
        <v>3.0853875178920883E+17</v>
      </c>
      <c r="E311" s="4">
        <f>FacDevRevY1*(1+FacDevGrowth)^309</f>
        <v>1.5426937589460442E+17</v>
      </c>
      <c r="F311" s="4">
        <f t="shared" si="16"/>
        <v>4.6281447756965645E+17</v>
      </c>
      <c r="G311" s="4">
        <f t="shared" si="17"/>
        <v>4.6281549355139136E+17</v>
      </c>
      <c r="H311" s="4">
        <f>SalaryFTECount*SalaryPerFTE*(1+SalaryGrowth)^309</f>
        <v>38505355561.660042</v>
      </c>
      <c r="I311" s="4">
        <f>SimOpsY1*(1+SimOpsGrowth)^309</f>
        <v>638354170681681.62</v>
      </c>
      <c r="J311" s="4">
        <f>TrainDevY1*(1+TrainDevGrowth)^309</f>
        <v>319177085340840.81</v>
      </c>
      <c r="K311" s="4">
        <f>AdminY1*(1+AdminGrowth)^309</f>
        <v>1319904053106.7537</v>
      </c>
      <c r="L311" s="4">
        <f t="shared" si="18"/>
        <v>958889665431190.75</v>
      </c>
      <c r="M311" s="4">
        <f t="shared" si="19"/>
        <v>4.6185660388596019E+17</v>
      </c>
    </row>
    <row r="312" spans="1:13" x14ac:dyDescent="0.2">
      <c r="A312" s="3">
        <f>StartYear+310</f>
        <v>2335</v>
      </c>
      <c r="B312" s="4">
        <f>FacultyFTE*HoursPerWeek*WeeksPerYear*RatePerHour*(1+PracticeGrowth)^310</f>
        <v>1066780821655.6296</v>
      </c>
      <c r="C312" s="4">
        <f>StudentsY1*(1+StudentGrowth)^310*CreditsPerStudent*TuitionPerCredit</f>
        <v>6667380135347.6855</v>
      </c>
      <c r="D312" s="4">
        <f>SimRevY1*(1+SimGrowth)^310</f>
        <v>3.3939262696812973E+17</v>
      </c>
      <c r="E312" s="4">
        <f>FacDevRevY1*(1+FacDevGrowth)^310</f>
        <v>1.6969631348406486E+17</v>
      </c>
      <c r="F312" s="4">
        <f t="shared" si="16"/>
        <v>5.0909560783232998E+17</v>
      </c>
      <c r="G312" s="4">
        <f t="shared" si="17"/>
        <v>5.0909667461315162E+17</v>
      </c>
      <c r="H312" s="4">
        <f>SalaryFTECount*SalaryPerFTE*(1+SalaryGrowth)^310</f>
        <v>40045569784.126442</v>
      </c>
      <c r="I312" s="4">
        <f>SimOpsY1*(1+SimOpsGrowth)^310</f>
        <v>689422504336216.25</v>
      </c>
      <c r="J312" s="4">
        <f>TrainDevY1*(1+TrainDevGrowth)^310</f>
        <v>344711252168108.12</v>
      </c>
      <c r="K312" s="4">
        <f>AdminY1*(1+AdminGrowth)^310</f>
        <v>1399098296293.1592</v>
      </c>
      <c r="L312" s="4">
        <f t="shared" si="18"/>
        <v>1035572900370401.6</v>
      </c>
      <c r="M312" s="4">
        <f t="shared" si="19"/>
        <v>5.0806110171278118E+17</v>
      </c>
    </row>
    <row r="313" spans="1:13" x14ac:dyDescent="0.2">
      <c r="A313" s="3">
        <f>StartYear+311</f>
        <v>2336</v>
      </c>
      <c r="B313" s="4">
        <f>FacultyFTE*HoursPerWeek*WeeksPerYear*RatePerHour*(1+PracticeGrowth)^311</f>
        <v>1120119862738.4114</v>
      </c>
      <c r="C313" s="4">
        <f>StudentsY1*(1+StudentGrowth)^311*CreditsPerStudent*TuitionPerCredit</f>
        <v>7000749142115.0713</v>
      </c>
      <c r="D313" s="4">
        <f>SimRevY1*(1+SimGrowth)^311</f>
        <v>3.7333188966494278E+17</v>
      </c>
      <c r="E313" s="4">
        <f>FacDevRevY1*(1+FacDevGrowth)^311</f>
        <v>1.8666594483247139E+17</v>
      </c>
      <c r="F313" s="4">
        <f t="shared" si="16"/>
        <v>5.6000483524655629E+17</v>
      </c>
      <c r="G313" s="4">
        <f t="shared" si="17"/>
        <v>5.6000595536641901E+17</v>
      </c>
      <c r="H313" s="4">
        <f>SalaryFTECount*SalaryPerFTE*(1+SalaryGrowth)^311</f>
        <v>41647392575.491493</v>
      </c>
      <c r="I313" s="4">
        <f>SimOpsY1*(1+SimOpsGrowth)^311</f>
        <v>744576304683113.62</v>
      </c>
      <c r="J313" s="4">
        <f>TrainDevY1*(1+TrainDevGrowth)^311</f>
        <v>372288152341556.81</v>
      </c>
      <c r="K313" s="4">
        <f>AdminY1*(1+AdminGrowth)^311</f>
        <v>1483044194070.7488</v>
      </c>
      <c r="L313" s="4">
        <f t="shared" si="18"/>
        <v>1118389148611316.8</v>
      </c>
      <c r="M313" s="4">
        <f t="shared" si="19"/>
        <v>5.5888756621780768E+17</v>
      </c>
    </row>
    <row r="314" spans="1:13" x14ac:dyDescent="0.2">
      <c r="A314" s="3">
        <f>StartYear+312</f>
        <v>2337</v>
      </c>
      <c r="B314" s="4">
        <f>FacultyFTE*HoursPerWeek*WeeksPerYear*RatePerHour*(1+PracticeGrowth)^312</f>
        <v>1176125855875.3318</v>
      </c>
      <c r="C314" s="4">
        <f>StudentsY1*(1+StudentGrowth)^312*CreditsPerStudent*TuitionPerCredit</f>
        <v>7350786599220.8232</v>
      </c>
      <c r="D314" s="4">
        <f>SimRevY1*(1+SimGrowth)^312</f>
        <v>4.1066507863143699E+17</v>
      </c>
      <c r="E314" s="4">
        <f>FacDevRevY1*(1+FacDevGrowth)^312</f>
        <v>2.053325393157185E+17</v>
      </c>
      <c r="F314" s="4">
        <f t="shared" si="16"/>
        <v>6.1600496873375475E+17</v>
      </c>
      <c r="G314" s="4">
        <f t="shared" si="17"/>
        <v>6.1600614485961062E+17</v>
      </c>
      <c r="H314" s="4">
        <f>SalaryFTECount*SalaryPerFTE*(1+SalaryGrowth)^312</f>
        <v>43313288278.511154</v>
      </c>
      <c r="I314" s="4">
        <f>SimOpsY1*(1+SimOpsGrowth)^312</f>
        <v>804142409057762.75</v>
      </c>
      <c r="J314" s="4">
        <f>TrainDevY1*(1+TrainDevGrowth)^312</f>
        <v>402071204528881.38</v>
      </c>
      <c r="K314" s="4">
        <f>AdminY1*(1+AdminGrowth)^312</f>
        <v>1572026845714.9932</v>
      </c>
      <c r="L314" s="4">
        <f t="shared" si="18"/>
        <v>1207828953720637.5</v>
      </c>
      <c r="M314" s="4">
        <f t="shared" si="19"/>
        <v>6.1479831590589005E+17</v>
      </c>
    </row>
    <row r="315" spans="1:13" x14ac:dyDescent="0.2">
      <c r="A315" s="3">
        <f>StartYear+313</f>
        <v>2338</v>
      </c>
      <c r="B315" s="4">
        <f>FacultyFTE*HoursPerWeek*WeeksPerYear*RatePerHour*(1+PracticeGrowth)^313</f>
        <v>1234932148669.0984</v>
      </c>
      <c r="C315" s="4">
        <f>StudentsY1*(1+StudentGrowth)^313*CreditsPerStudent*TuitionPerCredit</f>
        <v>7718325929181.8652</v>
      </c>
      <c r="D315" s="4">
        <f>SimRevY1*(1+SimGrowth)^313</f>
        <v>4.5173158649458074E+17</v>
      </c>
      <c r="E315" s="4">
        <f>FacDevRevY1*(1+FacDevGrowth)^313</f>
        <v>2.2586579324729037E+17</v>
      </c>
      <c r="F315" s="4">
        <f t="shared" si="16"/>
        <v>6.7760509806780032E+17</v>
      </c>
      <c r="G315" s="4">
        <f t="shared" si="17"/>
        <v>6.7760633299994893E+17</v>
      </c>
      <c r="H315" s="4">
        <f>SalaryFTECount*SalaryPerFTE*(1+SalaryGrowth)^313</f>
        <v>45045819809.651619</v>
      </c>
      <c r="I315" s="4">
        <f>SimOpsY1*(1+SimOpsGrowth)^313</f>
        <v>868473801782383.75</v>
      </c>
      <c r="J315" s="4">
        <f>TrainDevY1*(1+TrainDevGrowth)^313</f>
        <v>434236900891191.88</v>
      </c>
      <c r="K315" s="4">
        <f>AdminY1*(1+AdminGrowth)^313</f>
        <v>1666348456457.8931</v>
      </c>
      <c r="L315" s="4">
        <f t="shared" si="18"/>
        <v>1304422096949843.2</v>
      </c>
      <c r="M315" s="4">
        <f t="shared" si="19"/>
        <v>6.7630191090299904E+17</v>
      </c>
    </row>
    <row r="316" spans="1:13" x14ac:dyDescent="0.2">
      <c r="A316" s="3">
        <f>StartYear+314</f>
        <v>2339</v>
      </c>
      <c r="B316" s="4">
        <f>FacultyFTE*HoursPerWeek*WeeksPerYear*RatePerHour*(1+PracticeGrowth)^314</f>
        <v>1296678756102.5535</v>
      </c>
      <c r="C316" s="4">
        <f>StudentsY1*(1+StudentGrowth)^314*CreditsPerStudent*TuitionPerCredit</f>
        <v>8104242225640.96</v>
      </c>
      <c r="D316" s="4">
        <f>SimRevY1*(1+SimGrowth)^314</f>
        <v>4.9690474514403885E+17</v>
      </c>
      <c r="E316" s="4">
        <f>FacDevRevY1*(1+FacDevGrowth)^314</f>
        <v>2.4845237257201942E+17</v>
      </c>
      <c r="F316" s="4">
        <f t="shared" si="16"/>
        <v>7.453652219582839E+17</v>
      </c>
      <c r="G316" s="4">
        <f t="shared" si="17"/>
        <v>7.4536651863704E+17</v>
      </c>
      <c r="H316" s="4">
        <f>SalaryFTECount*SalaryPerFTE*(1+SalaryGrowth)^314</f>
        <v>46847652602.037666</v>
      </c>
      <c r="I316" s="4">
        <f>SimOpsY1*(1+SimOpsGrowth)^314</f>
        <v>937951705924974.5</v>
      </c>
      <c r="J316" s="4">
        <f>TrainDevY1*(1+TrainDevGrowth)^314</f>
        <v>468975852962487.25</v>
      </c>
      <c r="K316" s="4">
        <f>AdminY1*(1+AdminGrowth)^314</f>
        <v>1766329363845.3665</v>
      </c>
      <c r="L316" s="4">
        <f t="shared" si="18"/>
        <v>1408740735903909</v>
      </c>
      <c r="M316" s="4">
        <f t="shared" si="19"/>
        <v>7.4395777790113613E+17</v>
      </c>
    </row>
    <row r="317" spans="1:13" x14ac:dyDescent="0.2">
      <c r="A317" s="3">
        <f>StartYear+315</f>
        <v>2340</v>
      </c>
      <c r="B317" s="4">
        <f>FacultyFTE*HoursPerWeek*WeeksPerYear*RatePerHour*(1+PracticeGrowth)^315</f>
        <v>1361512693907.6812</v>
      </c>
      <c r="C317" s="4">
        <f>StudentsY1*(1+StudentGrowth)^315*CreditsPerStudent*TuitionPerCredit</f>
        <v>8509454336923.0068</v>
      </c>
      <c r="D317" s="4">
        <f>SimRevY1*(1+SimGrowth)^315</f>
        <v>5.4659521965844288E+17</v>
      </c>
      <c r="E317" s="4">
        <f>FacDevRevY1*(1+FacDevGrowth)^315</f>
        <v>2.7329760982922144E+17</v>
      </c>
      <c r="F317" s="4">
        <f t="shared" si="16"/>
        <v>8.1990133894200115E+17</v>
      </c>
      <c r="G317" s="4">
        <f t="shared" si="17"/>
        <v>8.1990270045469504E+17</v>
      </c>
      <c r="H317" s="4">
        <f>SalaryFTECount*SalaryPerFTE*(1+SalaryGrowth)^315</f>
        <v>48721558706.119179</v>
      </c>
      <c r="I317" s="4">
        <f>SimOpsY1*(1+SimOpsGrowth)^315</f>
        <v>1012987842398972.4</v>
      </c>
      <c r="J317" s="4">
        <f>TrainDevY1*(1+TrainDevGrowth)^315</f>
        <v>506493921199486.19</v>
      </c>
      <c r="K317" s="4">
        <f>AdminY1*(1+AdminGrowth)^315</f>
        <v>1872309125676.0889</v>
      </c>
      <c r="L317" s="4">
        <f t="shared" si="18"/>
        <v>1521402794282840.8</v>
      </c>
      <c r="M317" s="4">
        <f t="shared" si="19"/>
        <v>8.1838129766041216E+17</v>
      </c>
    </row>
    <row r="318" spans="1:13" x14ac:dyDescent="0.2">
      <c r="A318" s="3">
        <f>StartYear+316</f>
        <v>2341</v>
      </c>
      <c r="B318" s="4">
        <f>FacultyFTE*HoursPerWeek*WeeksPerYear*RatePerHour*(1+PracticeGrowth)^316</f>
        <v>1429588328603.0649</v>
      </c>
      <c r="C318" s="4">
        <f>StudentsY1*(1+StudentGrowth)^316*CreditsPerStudent*TuitionPerCredit</f>
        <v>8934927053769.1562</v>
      </c>
      <c r="D318" s="4">
        <f>SimRevY1*(1+SimGrowth)^316</f>
        <v>6.012547416242871E+17</v>
      </c>
      <c r="E318" s="4">
        <f>FacDevRevY1*(1+FacDevGrowth)^316</f>
        <v>3.0062737081214355E+17</v>
      </c>
      <c r="F318" s="4">
        <f t="shared" si="16"/>
        <v>9.0189104736348442E+17</v>
      </c>
      <c r="G318" s="4">
        <f t="shared" si="17"/>
        <v>9.0189247695181299E+17</v>
      </c>
      <c r="H318" s="4">
        <f>SalaryFTECount*SalaryPerFTE*(1+SalaryGrowth)^316</f>
        <v>50670421054.36396</v>
      </c>
      <c r="I318" s="4">
        <f>SimOpsY1*(1+SimOpsGrowth)^316</f>
        <v>1094026869790890.2</v>
      </c>
      <c r="J318" s="4">
        <f>TrainDevY1*(1+TrainDevGrowth)^316</f>
        <v>547013434895445.12</v>
      </c>
      <c r="K318" s="4">
        <f>AdminY1*(1+AdminGrowth)^316</f>
        <v>1984647673216.6541</v>
      </c>
      <c r="L318" s="4">
        <f t="shared" si="18"/>
        <v>1643075622780606.5</v>
      </c>
      <c r="M318" s="4">
        <f t="shared" si="19"/>
        <v>9.0024940132903245E+17</v>
      </c>
    </row>
    <row r="319" spans="1:13" x14ac:dyDescent="0.2">
      <c r="A319" s="3">
        <f>StartYear+317</f>
        <v>2342</v>
      </c>
      <c r="B319" s="4">
        <f>FacultyFTE*HoursPerWeek*WeeksPerYear*RatePerHour*(1+PracticeGrowth)^317</f>
        <v>1501067745033.2185</v>
      </c>
      <c r="C319" s="4">
        <f>StudentsY1*(1+StudentGrowth)^317*CreditsPerStudent*TuitionPerCredit</f>
        <v>9381673406457.6172</v>
      </c>
      <c r="D319" s="4">
        <f>SimRevY1*(1+SimGrowth)^317</f>
        <v>6.613802157867159E+17</v>
      </c>
      <c r="E319" s="4">
        <f>FacDevRevY1*(1+FacDevGrowth)^317</f>
        <v>3.3069010789335795E+17</v>
      </c>
      <c r="F319" s="4">
        <f t="shared" si="16"/>
        <v>9.9207970535348032E+17</v>
      </c>
      <c r="G319" s="4">
        <f t="shared" si="17"/>
        <v>9.9208120642122534E+17</v>
      </c>
      <c r="H319" s="4">
        <f>SalaryFTECount*SalaryPerFTE*(1+SalaryGrowth)^317</f>
        <v>52697237896.538528</v>
      </c>
      <c r="I319" s="4">
        <f>SimOpsY1*(1+SimOpsGrowth)^317</f>
        <v>1181549019374161.5</v>
      </c>
      <c r="J319" s="4">
        <f>TrainDevY1*(1+TrainDevGrowth)^317</f>
        <v>590774509687080.75</v>
      </c>
      <c r="K319" s="4">
        <f>AdminY1*(1+AdminGrowth)^317</f>
        <v>2103726533609.6541</v>
      </c>
      <c r="L319" s="4">
        <f t="shared" si="18"/>
        <v>1774479952832748.5</v>
      </c>
      <c r="M319" s="4">
        <f t="shared" si="19"/>
        <v>9.9030672646839258E+17</v>
      </c>
    </row>
    <row r="320" spans="1:13" x14ac:dyDescent="0.2">
      <c r="A320" s="3">
        <f>StartYear+318</f>
        <v>2343</v>
      </c>
      <c r="B320" s="4">
        <f>FacultyFTE*HoursPerWeek*WeeksPerYear*RatePerHour*(1+PracticeGrowth)^318</f>
        <v>1576121132284.8789</v>
      </c>
      <c r="C320" s="4">
        <f>StudentsY1*(1+StudentGrowth)^318*CreditsPerStudent*TuitionPerCredit</f>
        <v>9850757076780.4922</v>
      </c>
      <c r="D320" s="4">
        <f>SimRevY1*(1+SimGrowth)^318</f>
        <v>7.2751823736538765E+17</v>
      </c>
      <c r="E320" s="4">
        <f>FacDevRevY1*(1+FacDevGrowth)^318</f>
        <v>3.6375911868269382E+17</v>
      </c>
      <c r="F320" s="4">
        <f t="shared" si="16"/>
        <v>1.0912872068051581E+18</v>
      </c>
      <c r="G320" s="4">
        <f t="shared" si="17"/>
        <v>1.0912887829262904E+18</v>
      </c>
      <c r="H320" s="4">
        <f>SalaryFTECount*SalaryPerFTE*(1+SalaryGrowth)^318</f>
        <v>54805127412.400055</v>
      </c>
      <c r="I320" s="4">
        <f>SimOpsY1*(1+SimOpsGrowth)^318</f>
        <v>1276072940924094.5</v>
      </c>
      <c r="J320" s="4">
        <f>TrainDevY1*(1+TrainDevGrowth)^318</f>
        <v>638036470462047.25</v>
      </c>
      <c r="K320" s="4">
        <f>AdminY1*(1+AdminGrowth)^318</f>
        <v>2229950125626.2334</v>
      </c>
      <c r="L320" s="4">
        <f t="shared" si="18"/>
        <v>1916394166639180.5</v>
      </c>
      <c r="M320" s="4">
        <f t="shared" si="19"/>
        <v>1.0893723887596512E+18</v>
      </c>
    </row>
    <row r="321" spans="1:13" x14ac:dyDescent="0.2">
      <c r="A321" s="3">
        <f>StartYear+319</f>
        <v>2344</v>
      </c>
      <c r="B321" s="4">
        <f>FacultyFTE*HoursPerWeek*WeeksPerYear*RatePerHour*(1+PracticeGrowth)^319</f>
        <v>1654927188899.1235</v>
      </c>
      <c r="C321" s="4">
        <f>StudentsY1*(1+StudentGrowth)^319*CreditsPerStudent*TuitionPerCredit</f>
        <v>10343294930619.523</v>
      </c>
      <c r="D321" s="4">
        <f>SimRevY1*(1+SimGrowth)^319</f>
        <v>8.0027006110192627E+17</v>
      </c>
      <c r="E321" s="4">
        <f>FacDevRevY1*(1+FacDevGrowth)^319</f>
        <v>4.0013503055096314E+17</v>
      </c>
      <c r="F321" s="4">
        <f t="shared" si="16"/>
        <v>1.20041543494782E+18</v>
      </c>
      <c r="G321" s="4">
        <f t="shared" si="17"/>
        <v>1.200417089875009E+18</v>
      </c>
      <c r="H321" s="4">
        <f>SalaryFTECount*SalaryPerFTE*(1+SalaryGrowth)^319</f>
        <v>56997332508.896049</v>
      </c>
      <c r="I321" s="4">
        <f>SimOpsY1*(1+SimOpsGrowth)^319</f>
        <v>1378158776198022.5</v>
      </c>
      <c r="J321" s="4">
        <f>TrainDevY1*(1+TrainDevGrowth)^319</f>
        <v>689079388099011.25</v>
      </c>
      <c r="K321" s="4">
        <f>AdminY1*(1+AdminGrowth)^319</f>
        <v>2363747133163.8076</v>
      </c>
      <c r="L321" s="4">
        <f t="shared" si="18"/>
        <v>2069658908762706.5</v>
      </c>
      <c r="M321" s="4">
        <f t="shared" si="19"/>
        <v>1.1983474309662464E+18</v>
      </c>
    </row>
    <row r="322" spans="1:13" x14ac:dyDescent="0.2">
      <c r="A322" s="3">
        <f>StartYear+320</f>
        <v>2345</v>
      </c>
      <c r="B322" s="4">
        <f>FacultyFTE*HoursPerWeek*WeeksPerYear*RatePerHour*(1+PracticeGrowth)^320</f>
        <v>1737673548344.0796</v>
      </c>
      <c r="C322" s="4">
        <f>StudentsY1*(1+StudentGrowth)^320*CreditsPerStudent*TuitionPerCredit</f>
        <v>10860459677150.498</v>
      </c>
      <c r="D322" s="4">
        <f>SimRevY1*(1+SimGrowth)^320</f>
        <v>8.8029706721211891E+17</v>
      </c>
      <c r="E322" s="4">
        <f>FacDevRevY1*(1+FacDevGrowth)^320</f>
        <v>4.4014853360605946E+17</v>
      </c>
      <c r="F322" s="4">
        <f t="shared" ref="F322:F385" si="20">C322+D322+E322</f>
        <v>1.3204564612778555E+18</v>
      </c>
      <c r="G322" s="4">
        <f t="shared" ref="G322:G385" si="21">B322+F322</f>
        <v>1.3204581989514038E+18</v>
      </c>
      <c r="H322" s="4">
        <f>SalaryFTECount*SalaryPerFTE*(1+SalaryGrowth)^320</f>
        <v>59277225809.251907</v>
      </c>
      <c r="I322" s="4">
        <f>SimOpsY1*(1+SimOpsGrowth)^320</f>
        <v>1488411478293864.2</v>
      </c>
      <c r="J322" s="4">
        <f>TrainDevY1*(1+TrainDevGrowth)^320</f>
        <v>744205739146932.12</v>
      </c>
      <c r="K322" s="4">
        <f>AdminY1*(1+AdminGrowth)^320</f>
        <v>2505571961153.6353</v>
      </c>
      <c r="L322" s="4">
        <f t="shared" ref="L322:L385" si="22">SUM(H322:K322)</f>
        <v>2235182066627759.2</v>
      </c>
      <c r="M322" s="4">
        <f t="shared" ref="M322:M385" si="23">G322-L322</f>
        <v>1.3182230168847759E+18</v>
      </c>
    </row>
    <row r="323" spans="1:13" x14ac:dyDescent="0.2">
      <c r="A323" s="3">
        <f>StartYear+321</f>
        <v>2346</v>
      </c>
      <c r="B323" s="4">
        <f>FacultyFTE*HoursPerWeek*WeeksPerYear*RatePerHour*(1+PracticeGrowth)^321</f>
        <v>1824557225761.2839</v>
      </c>
      <c r="C323" s="4">
        <f>StudentsY1*(1+StudentGrowth)^321*CreditsPerStudent*TuitionPerCredit</f>
        <v>11403482661008.021</v>
      </c>
      <c r="D323" s="4">
        <f>SimRevY1*(1+SimGrowth)^321</f>
        <v>9.6832677393333082E+17</v>
      </c>
      <c r="E323" s="4">
        <f>FacDevRevY1*(1+FacDevGrowth)^321</f>
        <v>4.8416338696666541E+17</v>
      </c>
      <c r="F323" s="4">
        <f t="shared" si="20"/>
        <v>1.4525015643826573E+18</v>
      </c>
      <c r="G323" s="4">
        <f t="shared" si="21"/>
        <v>1.452503388939883E+18</v>
      </c>
      <c r="H323" s="4">
        <f>SalaryFTECount*SalaryPerFTE*(1+SalaryGrowth)^321</f>
        <v>61648314841.621986</v>
      </c>
      <c r="I323" s="4">
        <f>SimOpsY1*(1+SimOpsGrowth)^321</f>
        <v>1607484396557373.8</v>
      </c>
      <c r="J323" s="4">
        <f>TrainDevY1*(1+TrainDevGrowth)^321</f>
        <v>803742198278686.88</v>
      </c>
      <c r="K323" s="4">
        <f>AdminY1*(1+AdminGrowth)^321</f>
        <v>2655906278822.8535</v>
      </c>
      <c r="L323" s="4">
        <f t="shared" si="22"/>
        <v>2413944149429725</v>
      </c>
      <c r="M323" s="4">
        <f t="shared" si="23"/>
        <v>1.4500894447904532E+18</v>
      </c>
    </row>
    <row r="324" spans="1:13" x14ac:dyDescent="0.2">
      <c r="A324" s="3">
        <f>StartYear+322</f>
        <v>2347</v>
      </c>
      <c r="B324" s="4">
        <f>FacultyFTE*HoursPerWeek*WeeksPerYear*RatePerHour*(1+PracticeGrowth)^322</f>
        <v>1915785087049.3479</v>
      </c>
      <c r="C324" s="4">
        <f>StudentsY1*(1+StudentGrowth)^322*CreditsPerStudent*TuitionPerCredit</f>
        <v>11973656794058.426</v>
      </c>
      <c r="D324" s="4">
        <f>SimRevY1*(1+SimGrowth)^322</f>
        <v>1.0651594513266641E+18</v>
      </c>
      <c r="E324" s="4">
        <f>FacDevRevY1*(1+FacDevGrowth)^322</f>
        <v>5.3257972566333203E+17</v>
      </c>
      <c r="F324" s="4">
        <f t="shared" si="20"/>
        <v>1.5977511506467901E+18</v>
      </c>
      <c r="G324" s="4">
        <f t="shared" si="21"/>
        <v>1.5977530664318771E+18</v>
      </c>
      <c r="H324" s="4">
        <f>SalaryFTECount*SalaryPerFTE*(1+SalaryGrowth)^322</f>
        <v>64114247435.286873</v>
      </c>
      <c r="I324" s="4">
        <f>SimOpsY1*(1+SimOpsGrowth)^322</f>
        <v>1736083148281963.2</v>
      </c>
      <c r="J324" s="4">
        <f>TrainDevY1*(1+TrainDevGrowth)^322</f>
        <v>868041574140981.62</v>
      </c>
      <c r="K324" s="4">
        <f>AdminY1*(1+AdminGrowth)^322</f>
        <v>2815260655552.2251</v>
      </c>
      <c r="L324" s="4">
        <f t="shared" si="22"/>
        <v>2607004097325932</v>
      </c>
      <c r="M324" s="4">
        <f t="shared" si="23"/>
        <v>1.5951460623345513E+18</v>
      </c>
    </row>
    <row r="325" spans="1:13" x14ac:dyDescent="0.2">
      <c r="A325" s="3">
        <f>StartYear+323</f>
        <v>2348</v>
      </c>
      <c r="B325" s="4">
        <f>FacultyFTE*HoursPerWeek*WeeksPerYear*RatePerHour*(1+PracticeGrowth)^323</f>
        <v>2011574341401.8154</v>
      </c>
      <c r="C325" s="4">
        <f>StudentsY1*(1+StudentGrowth)^323*CreditsPerStudent*TuitionPerCredit</f>
        <v>12572339633761.348</v>
      </c>
      <c r="D325" s="4">
        <f>SimRevY1*(1+SimGrowth)^323</f>
        <v>1.1716753964593308E+18</v>
      </c>
      <c r="E325" s="4">
        <f>FacDevRevY1*(1+FacDevGrowth)^323</f>
        <v>5.8583769822966541E+17</v>
      </c>
      <c r="F325" s="4">
        <f t="shared" si="20"/>
        <v>1.75752566702863E+18</v>
      </c>
      <c r="G325" s="4">
        <f t="shared" si="21"/>
        <v>1.7575276786029714E+18</v>
      </c>
      <c r="H325" s="4">
        <f>SalaryFTECount*SalaryPerFTE*(1+SalaryGrowth)^323</f>
        <v>66678817332.698341</v>
      </c>
      <c r="I325" s="4">
        <f>SimOpsY1*(1+SimOpsGrowth)^323</f>
        <v>1874969800144520.8</v>
      </c>
      <c r="J325" s="4">
        <f>TrainDevY1*(1+TrainDevGrowth)^323</f>
        <v>937484900072260.38</v>
      </c>
      <c r="K325" s="4">
        <f>AdminY1*(1+AdminGrowth)^323</f>
        <v>2984176294885.3589</v>
      </c>
      <c r="L325" s="4">
        <f t="shared" si="22"/>
        <v>2815505555328999.5</v>
      </c>
      <c r="M325" s="4">
        <f t="shared" si="23"/>
        <v>1.7547121730476424E+18</v>
      </c>
    </row>
    <row r="326" spans="1:13" x14ac:dyDescent="0.2">
      <c r="A326" s="3">
        <f>StartYear+324</f>
        <v>2349</v>
      </c>
      <c r="B326" s="4">
        <f>FacultyFTE*HoursPerWeek*WeeksPerYear*RatePerHour*(1+PracticeGrowth)^324</f>
        <v>2112153058471.906</v>
      </c>
      <c r="C326" s="4">
        <f>StudentsY1*(1+StudentGrowth)^324*CreditsPerStudent*TuitionPerCredit</f>
        <v>13200956615449.414</v>
      </c>
      <c r="D326" s="4">
        <f>SimRevY1*(1+SimGrowth)^324</f>
        <v>1.2888429361052636E+18</v>
      </c>
      <c r="E326" s="4">
        <f>FacDevRevY1*(1+FacDevGrowth)^324</f>
        <v>6.4442146805263181E+17</v>
      </c>
      <c r="F326" s="4">
        <f t="shared" si="20"/>
        <v>1.9332776051145108E+18</v>
      </c>
      <c r="G326" s="4">
        <f t="shared" si="21"/>
        <v>1.9332797172675694E+18</v>
      </c>
      <c r="H326" s="4">
        <f>SalaryFTECount*SalaryPerFTE*(1+SalaryGrowth)^324</f>
        <v>69345970026.006287</v>
      </c>
      <c r="I326" s="4">
        <f>SimOpsY1*(1+SimOpsGrowth)^324</f>
        <v>2024967384156082.5</v>
      </c>
      <c r="J326" s="4">
        <f>TrainDevY1*(1+TrainDevGrowth)^324</f>
        <v>1012483692078041.2</v>
      </c>
      <c r="K326" s="4">
        <f>AdminY1*(1+AdminGrowth)^324</f>
        <v>3163226872578.481</v>
      </c>
      <c r="L326" s="4">
        <f t="shared" si="22"/>
        <v>3040683649076728.5</v>
      </c>
      <c r="M326" s="4">
        <f t="shared" si="23"/>
        <v>1.9302390336184927E+18</v>
      </c>
    </row>
    <row r="327" spans="1:13" x14ac:dyDescent="0.2">
      <c r="A327" s="3">
        <f>StartYear+325</f>
        <v>2350</v>
      </c>
      <c r="B327" s="4">
        <f>FacultyFTE*HoursPerWeek*WeeksPerYear*RatePerHour*(1+PracticeGrowth)^325</f>
        <v>2217760711395.5015</v>
      </c>
      <c r="C327" s="4">
        <f>StudentsY1*(1+StudentGrowth)^325*CreditsPerStudent*TuitionPerCredit</f>
        <v>13861004446221.883</v>
      </c>
      <c r="D327" s="4">
        <f>SimRevY1*(1+SimGrowth)^325</f>
        <v>1.4177272297157903E+18</v>
      </c>
      <c r="E327" s="4">
        <f>FacDevRevY1*(1+FacDevGrowth)^325</f>
        <v>7.0886361485789517E+17</v>
      </c>
      <c r="F327" s="4">
        <f t="shared" si="20"/>
        <v>2.1266047055781317E+18</v>
      </c>
      <c r="G327" s="4">
        <f t="shared" si="21"/>
        <v>2.1266069233388431E+18</v>
      </c>
      <c r="H327" s="4">
        <f>SalaryFTECount*SalaryPerFTE*(1+SalaryGrowth)^325</f>
        <v>72119808827.046539</v>
      </c>
      <c r="I327" s="4">
        <f>SimOpsY1*(1+SimOpsGrowth)^325</f>
        <v>2186964774888569.2</v>
      </c>
      <c r="J327" s="4">
        <f>TrainDevY1*(1+TrainDevGrowth)^325</f>
        <v>1093482387444284.6</v>
      </c>
      <c r="K327" s="4">
        <f>AdminY1*(1+AdminGrowth)^325</f>
        <v>3353020484933.1899</v>
      </c>
      <c r="L327" s="4">
        <f t="shared" si="22"/>
        <v>3283872302626614</v>
      </c>
      <c r="M327" s="4">
        <f t="shared" si="23"/>
        <v>2.1233230510362166E+18</v>
      </c>
    </row>
    <row r="328" spans="1:13" x14ac:dyDescent="0.2">
      <c r="A328" s="3">
        <f>StartYear+326</f>
        <v>2351</v>
      </c>
      <c r="B328" s="4">
        <f>FacultyFTE*HoursPerWeek*WeeksPerYear*RatePerHour*(1+PracticeGrowth)^326</f>
        <v>2328648746965.2764</v>
      </c>
      <c r="C328" s="4">
        <f>StudentsY1*(1+StudentGrowth)^326*CreditsPerStudent*TuitionPerCredit</f>
        <v>14554054668532.979</v>
      </c>
      <c r="D328" s="4">
        <f>SimRevY1*(1+SimGrowth)^326</f>
        <v>1.5594999526873695E+18</v>
      </c>
      <c r="E328" s="4">
        <f>FacDevRevY1*(1+FacDevGrowth)^326</f>
        <v>7.7974997634368474E+17</v>
      </c>
      <c r="F328" s="4">
        <f t="shared" si="20"/>
        <v>2.3392644830857226E+18</v>
      </c>
      <c r="G328" s="4">
        <f t="shared" si="21"/>
        <v>2.3392668117344696E+18</v>
      </c>
      <c r="H328" s="4">
        <f>SalaryFTECount*SalaryPerFTE*(1+SalaryGrowth)^326</f>
        <v>75004601180.128403</v>
      </c>
      <c r="I328" s="4">
        <f>SimOpsY1*(1+SimOpsGrowth)^326</f>
        <v>2361921956879655</v>
      </c>
      <c r="J328" s="4">
        <f>TrainDevY1*(1+TrainDevGrowth)^326</f>
        <v>1180960978439827.5</v>
      </c>
      <c r="K328" s="4">
        <f>AdminY1*(1+AdminGrowth)^326</f>
        <v>3554201714029.1812</v>
      </c>
      <c r="L328" s="4">
        <f t="shared" si="22"/>
        <v>3546512141634691.5</v>
      </c>
      <c r="M328" s="4">
        <f t="shared" si="23"/>
        <v>2.3357202995928351E+18</v>
      </c>
    </row>
    <row r="329" spans="1:13" x14ac:dyDescent="0.2">
      <c r="A329" s="3">
        <f>StartYear+327</f>
        <v>2352</v>
      </c>
      <c r="B329" s="4">
        <f>FacultyFTE*HoursPerWeek*WeeksPerYear*RatePerHour*(1+PracticeGrowth)^327</f>
        <v>2445081184313.5405</v>
      </c>
      <c r="C329" s="4">
        <f>StudentsY1*(1+StudentGrowth)^327*CreditsPerStudent*TuitionPerCredit</f>
        <v>15281757401959.627</v>
      </c>
      <c r="D329" s="4">
        <f>SimRevY1*(1+SimGrowth)^327</f>
        <v>1.7154499479561068E+18</v>
      </c>
      <c r="E329" s="4">
        <f>FacDevRevY1*(1+FacDevGrowth)^327</f>
        <v>8.5772497397805338E+17</v>
      </c>
      <c r="F329" s="4">
        <f t="shared" si="20"/>
        <v>2.573190203691562E+18</v>
      </c>
      <c r="G329" s="4">
        <f t="shared" si="21"/>
        <v>2.5731926487727462E+18</v>
      </c>
      <c r="H329" s="4">
        <f>SalaryFTECount*SalaryPerFTE*(1+SalaryGrowth)^327</f>
        <v>78004785227.333527</v>
      </c>
      <c r="I329" s="4">
        <f>SimOpsY1*(1+SimOpsGrowth)^327</f>
        <v>2550875713430027</v>
      </c>
      <c r="J329" s="4">
        <f>TrainDevY1*(1+TrainDevGrowth)^327</f>
        <v>1275437856715013.5</v>
      </c>
      <c r="K329" s="4">
        <f>AdminY1*(1+AdminGrowth)^327</f>
        <v>3767453816870.9331</v>
      </c>
      <c r="L329" s="4">
        <f t="shared" si="22"/>
        <v>3830159028747139</v>
      </c>
      <c r="M329" s="4">
        <f t="shared" si="23"/>
        <v>2.569362489743999E+18</v>
      </c>
    </row>
    <row r="330" spans="1:13" x14ac:dyDescent="0.2">
      <c r="A330" s="3">
        <f>StartYear+328</f>
        <v>2353</v>
      </c>
      <c r="B330" s="4">
        <f>FacultyFTE*HoursPerWeek*WeeksPerYear*RatePerHour*(1+PracticeGrowth)^328</f>
        <v>2567335243529.2173</v>
      </c>
      <c r="C330" s="4">
        <f>StudentsY1*(1+StudentGrowth)^328*CreditsPerStudent*TuitionPerCredit</f>
        <v>16045845272057.609</v>
      </c>
      <c r="D330" s="4">
        <f>SimRevY1*(1+SimGrowth)^328</f>
        <v>1.8869949427517171E+18</v>
      </c>
      <c r="E330" s="4">
        <f>FacDevRevY1*(1+FacDevGrowth)^328</f>
        <v>9.4349747137585856E+17</v>
      </c>
      <c r="F330" s="4">
        <f t="shared" si="20"/>
        <v>2.8305084599728476E+18</v>
      </c>
      <c r="G330" s="4">
        <f t="shared" si="21"/>
        <v>2.8305110273080914E+18</v>
      </c>
      <c r="H330" s="4">
        <f>SalaryFTECount*SalaryPerFTE*(1+SalaryGrowth)^328</f>
        <v>81124976636.42688</v>
      </c>
      <c r="I330" s="4">
        <f>SimOpsY1*(1+SimOpsGrowth)^328</f>
        <v>2754945770504429.5</v>
      </c>
      <c r="J330" s="4">
        <f>TrainDevY1*(1+TrainDevGrowth)^328</f>
        <v>1377472885252214.8</v>
      </c>
      <c r="K330" s="4">
        <f>AdminY1*(1+AdminGrowth)^328</f>
        <v>3993501045883.1885</v>
      </c>
      <c r="L330" s="4">
        <f t="shared" si="22"/>
        <v>4136493281779164</v>
      </c>
      <c r="M330" s="4">
        <f t="shared" si="23"/>
        <v>2.8263745340263122E+18</v>
      </c>
    </row>
    <row r="331" spans="1:13" x14ac:dyDescent="0.2">
      <c r="A331" s="3">
        <f>StartYear+329</f>
        <v>2354</v>
      </c>
      <c r="B331" s="4">
        <f>FacultyFTE*HoursPerWeek*WeeksPerYear*RatePerHour*(1+PracticeGrowth)^329</f>
        <v>2695702005705.6777</v>
      </c>
      <c r="C331" s="4">
        <f>StudentsY1*(1+StudentGrowth)^329*CreditsPerStudent*TuitionPerCredit</f>
        <v>16848137535660.486</v>
      </c>
      <c r="D331" s="4">
        <f>SimRevY1*(1+SimGrowth)^329</f>
        <v>2.075694437026889E+18</v>
      </c>
      <c r="E331" s="4">
        <f>FacDevRevY1*(1+FacDevGrowth)^329</f>
        <v>1.0378472185134445E+18</v>
      </c>
      <c r="F331" s="4">
        <f t="shared" si="20"/>
        <v>3.1135585036778691E+18</v>
      </c>
      <c r="G331" s="4">
        <f t="shared" si="21"/>
        <v>3.1135611993798748E+18</v>
      </c>
      <c r="H331" s="4">
        <f>SalaryFTECount*SalaryPerFTE*(1+SalaryGrowth)^329</f>
        <v>84369975701.883957</v>
      </c>
      <c r="I331" s="4">
        <f>SimOpsY1*(1+SimOpsGrowth)^329</f>
        <v>2975341432144784.5</v>
      </c>
      <c r="J331" s="4">
        <f>TrainDevY1*(1+TrainDevGrowth)^329</f>
        <v>1487670716072392.2</v>
      </c>
      <c r="K331" s="4">
        <f>AdminY1*(1+AdminGrowth)^329</f>
        <v>4233111108636.1792</v>
      </c>
      <c r="L331" s="4">
        <f t="shared" si="22"/>
        <v>4467329629301515</v>
      </c>
      <c r="M331" s="4">
        <f t="shared" si="23"/>
        <v>3.1090938697505731E+18</v>
      </c>
    </row>
    <row r="332" spans="1:13" x14ac:dyDescent="0.2">
      <c r="A332" s="3">
        <f>StartYear+330</f>
        <v>2355</v>
      </c>
      <c r="B332" s="4">
        <f>FacultyFTE*HoursPerWeek*WeeksPerYear*RatePerHour*(1+PracticeGrowth)^330</f>
        <v>2830487105990.9619</v>
      </c>
      <c r="C332" s="4">
        <f>StudentsY1*(1+StudentGrowth)^330*CreditsPerStudent*TuitionPerCredit</f>
        <v>17690544412443.512</v>
      </c>
      <c r="D332" s="4">
        <f>SimRevY1*(1+SimGrowth)^330</f>
        <v>2.2832638807295782E+18</v>
      </c>
      <c r="E332" s="4">
        <f>FacDevRevY1*(1+FacDevGrowth)^330</f>
        <v>1.1416319403647891E+18</v>
      </c>
      <c r="F332" s="4">
        <f t="shared" si="20"/>
        <v>3.4249135116387799E+18</v>
      </c>
      <c r="G332" s="4">
        <f t="shared" si="21"/>
        <v>3.424916342125886E+18</v>
      </c>
      <c r="H332" s="4">
        <f>SalaryFTECount*SalaryPerFTE*(1+SalaryGrowth)^330</f>
        <v>87744774729.959335</v>
      </c>
      <c r="I332" s="4">
        <f>SimOpsY1*(1+SimOpsGrowth)^330</f>
        <v>3213368746716367.5</v>
      </c>
      <c r="J332" s="4">
        <f>TrainDevY1*(1+TrainDevGrowth)^330</f>
        <v>1606684373358183.8</v>
      </c>
      <c r="K332" s="4">
        <f>AdminY1*(1+AdminGrowth)^330</f>
        <v>4487097775154.3506</v>
      </c>
      <c r="L332" s="4">
        <f t="shared" si="22"/>
        <v>4824627962624435</v>
      </c>
      <c r="M332" s="4">
        <f t="shared" si="23"/>
        <v>3.4200917141632614E+18</v>
      </c>
    </row>
    <row r="333" spans="1:13" x14ac:dyDescent="0.2">
      <c r="A333" s="3">
        <f>StartYear+331</f>
        <v>2356</v>
      </c>
      <c r="B333" s="4">
        <f>FacultyFTE*HoursPerWeek*WeeksPerYear*RatePerHour*(1+PracticeGrowth)^331</f>
        <v>2972011461290.5103</v>
      </c>
      <c r="C333" s="4">
        <f>StudentsY1*(1+StudentGrowth)^331*CreditsPerStudent*TuitionPerCredit</f>
        <v>18575071633065.691</v>
      </c>
      <c r="D333" s="4">
        <f>SimRevY1*(1+SimGrowth)^331</f>
        <v>2.5115902688025359E+18</v>
      </c>
      <c r="E333" s="4">
        <f>FacDevRevY1*(1+FacDevGrowth)^331</f>
        <v>1.255795134401268E+18</v>
      </c>
      <c r="F333" s="4">
        <f t="shared" si="20"/>
        <v>3.7674039782754365E+18</v>
      </c>
      <c r="G333" s="4">
        <f t="shared" si="21"/>
        <v>3.7674069502868977E+18</v>
      </c>
      <c r="H333" s="4">
        <f>SalaryFTECount*SalaryPerFTE*(1+SalaryGrowth)^331</f>
        <v>91254565719.157684</v>
      </c>
      <c r="I333" s="4">
        <f>SimOpsY1*(1+SimOpsGrowth)^331</f>
        <v>3470438246453676.5</v>
      </c>
      <c r="J333" s="4">
        <f>TrainDevY1*(1+TrainDevGrowth)^331</f>
        <v>1735219123226838.2</v>
      </c>
      <c r="K333" s="4">
        <f>AdminY1*(1+AdminGrowth)^331</f>
        <v>4756323641663.6123</v>
      </c>
      <c r="L333" s="4">
        <f t="shared" si="22"/>
        <v>5210504947887898</v>
      </c>
      <c r="M333" s="4">
        <f t="shared" si="23"/>
        <v>3.7621964453390095E+18</v>
      </c>
    </row>
    <row r="334" spans="1:13" x14ac:dyDescent="0.2">
      <c r="A334" s="3">
        <f>StartYear+332</f>
        <v>2357</v>
      </c>
      <c r="B334" s="4">
        <f>FacultyFTE*HoursPerWeek*WeeksPerYear*RatePerHour*(1+PracticeGrowth)^332</f>
        <v>3120612034355.0352</v>
      </c>
      <c r="C334" s="4">
        <f>StudentsY1*(1+StudentGrowth)^332*CreditsPerStudent*TuitionPerCredit</f>
        <v>19503825214718.973</v>
      </c>
      <c r="D334" s="4">
        <f>SimRevY1*(1+SimGrowth)^332</f>
        <v>2.7627492956827899E+18</v>
      </c>
      <c r="E334" s="4">
        <f>FacDevRevY1*(1+FacDevGrowth)^332</f>
        <v>1.3813746478413949E+18</v>
      </c>
      <c r="F334" s="4">
        <f t="shared" si="20"/>
        <v>4.1441434473493996E+18</v>
      </c>
      <c r="G334" s="4">
        <f t="shared" si="21"/>
        <v>4.1441465679614341E+18</v>
      </c>
      <c r="H334" s="4">
        <f>SalaryFTECount*SalaryPerFTE*(1+SalaryGrowth)^332</f>
        <v>94904748347.924011</v>
      </c>
      <c r="I334" s="4">
        <f>SimOpsY1*(1+SimOpsGrowth)^332</f>
        <v>3748073306169970.5</v>
      </c>
      <c r="J334" s="4">
        <f>TrainDevY1*(1+TrainDevGrowth)^332</f>
        <v>1874036653084985.2</v>
      </c>
      <c r="K334" s="4">
        <f>AdminY1*(1+AdminGrowth)^332</f>
        <v>5041703060163.4297</v>
      </c>
      <c r="L334" s="4">
        <f t="shared" si="22"/>
        <v>5627246567063467</v>
      </c>
      <c r="M334" s="4">
        <f t="shared" si="23"/>
        <v>4.1385193213943706E+18</v>
      </c>
    </row>
    <row r="335" spans="1:13" x14ac:dyDescent="0.2">
      <c r="A335" s="3">
        <f>StartYear+333</f>
        <v>2358</v>
      </c>
      <c r="B335" s="4">
        <f>FacultyFTE*HoursPerWeek*WeeksPerYear*RatePerHour*(1+PracticeGrowth)^333</f>
        <v>3276642636072.7881</v>
      </c>
      <c r="C335" s="4">
        <f>StudentsY1*(1+StudentGrowth)^333*CreditsPerStudent*TuitionPerCredit</f>
        <v>20479016475454.922</v>
      </c>
      <c r="D335" s="4">
        <f>SimRevY1*(1+SimGrowth)^333</f>
        <v>3.0390242252510689E+18</v>
      </c>
      <c r="E335" s="4">
        <f>FacDevRevY1*(1+FacDevGrowth)^333</f>
        <v>1.5195121126255345E+18</v>
      </c>
      <c r="F335" s="4">
        <f t="shared" si="20"/>
        <v>4.558556816893079E+18</v>
      </c>
      <c r="G335" s="4">
        <f t="shared" si="21"/>
        <v>4.5585600935357153E+18</v>
      </c>
      <c r="H335" s="4">
        <f>SalaryFTECount*SalaryPerFTE*(1+SalaryGrowth)^333</f>
        <v>98700938281.840988</v>
      </c>
      <c r="I335" s="4">
        <f>SimOpsY1*(1+SimOpsGrowth)^333</f>
        <v>4047919170663568.5</v>
      </c>
      <c r="J335" s="4">
        <f>TrainDevY1*(1+TrainDevGrowth)^333</f>
        <v>2023959585331784.2</v>
      </c>
      <c r="K335" s="4">
        <f>AdminY1*(1+AdminGrowth)^333</f>
        <v>5344205243773.2354</v>
      </c>
      <c r="L335" s="4">
        <f t="shared" si="22"/>
        <v>6077321662177408</v>
      </c>
      <c r="M335" s="4">
        <f t="shared" si="23"/>
        <v>4.552482771873538E+18</v>
      </c>
    </row>
    <row r="336" spans="1:13" x14ac:dyDescent="0.2">
      <c r="A336" s="3">
        <f>StartYear+334</f>
        <v>2359</v>
      </c>
      <c r="B336" s="4">
        <f>FacultyFTE*HoursPerWeek*WeeksPerYear*RatePerHour*(1+PracticeGrowth)^334</f>
        <v>3440474767876.4263</v>
      </c>
      <c r="C336" s="4">
        <f>StudentsY1*(1+StudentGrowth)^334*CreditsPerStudent*TuitionPerCredit</f>
        <v>21502967299227.668</v>
      </c>
      <c r="D336" s="4">
        <f>SimRevY1*(1+SimGrowth)^334</f>
        <v>3.3429266477761766E+18</v>
      </c>
      <c r="E336" s="4">
        <f>FacDevRevY1*(1+FacDevGrowth)^334</f>
        <v>1.6714633238880883E+18</v>
      </c>
      <c r="F336" s="4">
        <f t="shared" si="20"/>
        <v>5.0144114746315643E+18</v>
      </c>
      <c r="G336" s="4">
        <f t="shared" si="21"/>
        <v>5.0144149151063327E+18</v>
      </c>
      <c r="H336" s="4">
        <f>SalaryFTECount*SalaryPerFTE*(1+SalaryGrowth)^334</f>
        <v>102648975813.11462</v>
      </c>
      <c r="I336" s="4">
        <f>SimOpsY1*(1+SimOpsGrowth)^334</f>
        <v>4371752704316654.5</v>
      </c>
      <c r="J336" s="4">
        <f>TrainDevY1*(1+TrainDevGrowth)^334</f>
        <v>2185876352158327.2</v>
      </c>
      <c r="K336" s="4">
        <f>AdminY1*(1+AdminGrowth)^334</f>
        <v>5664857558399.6299</v>
      </c>
      <c r="L336" s="4">
        <f t="shared" si="22"/>
        <v>6563396563009195</v>
      </c>
      <c r="M336" s="4">
        <f t="shared" si="23"/>
        <v>5.0078515185433231E+18</v>
      </c>
    </row>
    <row r="337" spans="1:13" x14ac:dyDescent="0.2">
      <c r="A337" s="3">
        <f>StartYear+335</f>
        <v>2360</v>
      </c>
      <c r="B337" s="4">
        <f>FacultyFTE*HoursPerWeek*WeeksPerYear*RatePerHour*(1+PracticeGrowth)^335</f>
        <v>3612498506270.2485</v>
      </c>
      <c r="C337" s="4">
        <f>StudentsY1*(1+StudentGrowth)^335*CreditsPerStudent*TuitionPerCredit</f>
        <v>22578115664189.059</v>
      </c>
      <c r="D337" s="4">
        <f>SimRevY1*(1+SimGrowth)^335</f>
        <v>3.6772193125537935E+18</v>
      </c>
      <c r="E337" s="4">
        <f>FacDevRevY1*(1+FacDevGrowth)^335</f>
        <v>1.8386096562768968E+18</v>
      </c>
      <c r="F337" s="4">
        <f t="shared" si="20"/>
        <v>5.5158515469463552E+18</v>
      </c>
      <c r="G337" s="4">
        <f t="shared" si="21"/>
        <v>5.515855159444862E+18</v>
      </c>
      <c r="H337" s="4">
        <f>SalaryFTECount*SalaryPerFTE*(1+SalaryGrowth)^335</f>
        <v>106754934845.63921</v>
      </c>
      <c r="I337" s="4">
        <f>SimOpsY1*(1+SimOpsGrowth)^335</f>
        <v>4721492920661988</v>
      </c>
      <c r="J337" s="4">
        <f>TrainDevY1*(1+TrainDevGrowth)^335</f>
        <v>2360746460330994</v>
      </c>
      <c r="K337" s="4">
        <f>AdminY1*(1+AdminGrowth)^335</f>
        <v>6004749011903.6094</v>
      </c>
      <c r="L337" s="4">
        <f t="shared" si="22"/>
        <v>7088350884939732</v>
      </c>
      <c r="M337" s="4">
        <f t="shared" si="23"/>
        <v>5.5087668085599222E+18</v>
      </c>
    </row>
    <row r="338" spans="1:13" x14ac:dyDescent="0.2">
      <c r="A338" s="3">
        <f>StartYear+336</f>
        <v>2361</v>
      </c>
      <c r="B338" s="4">
        <f>FacultyFTE*HoursPerWeek*WeeksPerYear*RatePerHour*(1+PracticeGrowth)^336</f>
        <v>3793123431583.7612</v>
      </c>
      <c r="C338" s="4">
        <f>StudentsY1*(1+StudentGrowth)^336*CreditsPerStudent*TuitionPerCredit</f>
        <v>23707021447398.508</v>
      </c>
      <c r="D338" s="4">
        <f>SimRevY1*(1+SimGrowth)^336</f>
        <v>4.0449412438091735E+18</v>
      </c>
      <c r="E338" s="4">
        <f>FacDevRevY1*(1+FacDevGrowth)^336</f>
        <v>2.0224706219045868E+18</v>
      </c>
      <c r="F338" s="4">
        <f t="shared" si="20"/>
        <v>6.0674355727352074E+18</v>
      </c>
      <c r="G338" s="4">
        <f t="shared" si="21"/>
        <v>6.0674393658586388E+18</v>
      </c>
      <c r="H338" s="4">
        <f>SalaryFTECount*SalaryPerFTE*(1+SalaryGrowth)^336</f>
        <v>111025132239.46481</v>
      </c>
      <c r="I338" s="4">
        <f>SimOpsY1*(1+SimOpsGrowth)^336</f>
        <v>5099212354314946</v>
      </c>
      <c r="J338" s="4">
        <f>TrainDevY1*(1+TrainDevGrowth)^336</f>
        <v>2549606177157473</v>
      </c>
      <c r="K338" s="4">
        <f>AdminY1*(1+AdminGrowth)^336</f>
        <v>6365033952617.8242</v>
      </c>
      <c r="L338" s="4">
        <f t="shared" si="22"/>
        <v>7655294590557276</v>
      </c>
      <c r="M338" s="4">
        <f t="shared" si="23"/>
        <v>6.0597840712680817E+18</v>
      </c>
    </row>
    <row r="339" spans="1:13" x14ac:dyDescent="0.2">
      <c r="A339" s="3">
        <f>StartYear+337</f>
        <v>2362</v>
      </c>
      <c r="B339" s="4">
        <f>FacultyFTE*HoursPerWeek*WeeksPerYear*RatePerHour*(1+PracticeGrowth)^337</f>
        <v>3982779603162.9497</v>
      </c>
      <c r="C339" s="4">
        <f>StudentsY1*(1+StudentGrowth)^337*CreditsPerStudent*TuitionPerCredit</f>
        <v>24892372519768.434</v>
      </c>
      <c r="D339" s="4">
        <f>SimRevY1*(1+SimGrowth)^337</f>
        <v>4.4494353681900908E+18</v>
      </c>
      <c r="E339" s="4">
        <f>FacDevRevY1*(1+FacDevGrowth)^337</f>
        <v>2.2247176840950454E+18</v>
      </c>
      <c r="F339" s="4">
        <f t="shared" si="20"/>
        <v>6.6741779446576558E+18</v>
      </c>
      <c r="G339" s="4">
        <f t="shared" si="21"/>
        <v>6.6741819274372588E+18</v>
      </c>
      <c r="H339" s="4">
        <f>SalaryFTECount*SalaryPerFTE*(1+SalaryGrowth)^337</f>
        <v>115466137529.04337</v>
      </c>
      <c r="I339" s="4">
        <f>SimOpsY1*(1+SimOpsGrowth)^337</f>
        <v>5507149342660142</v>
      </c>
      <c r="J339" s="4">
        <f>TrainDevY1*(1+TrainDevGrowth)^337</f>
        <v>2753574671330071</v>
      </c>
      <c r="K339" s="4">
        <f>AdminY1*(1+AdminGrowth)^337</f>
        <v>6746935989774.8945</v>
      </c>
      <c r="L339" s="4">
        <f t="shared" si="22"/>
        <v>8267586416117517</v>
      </c>
      <c r="M339" s="4">
        <f t="shared" si="23"/>
        <v>6.665914341021141E+18</v>
      </c>
    </row>
    <row r="340" spans="1:13" x14ac:dyDescent="0.2">
      <c r="A340" s="3">
        <f>StartYear+338</f>
        <v>2363</v>
      </c>
      <c r="B340" s="4">
        <f>FacultyFTE*HoursPerWeek*WeeksPerYear*RatePerHour*(1+PracticeGrowth)^338</f>
        <v>4181918583321.0972</v>
      </c>
      <c r="C340" s="4">
        <f>StudentsY1*(1+StudentGrowth)^338*CreditsPerStudent*TuitionPerCredit</f>
        <v>26136991145756.855</v>
      </c>
      <c r="D340" s="4">
        <f>SimRevY1*(1+SimGrowth)^338</f>
        <v>4.8943789050090998E+18</v>
      </c>
      <c r="E340" s="4">
        <f>FacDevRevY1*(1+FacDevGrowth)^338</f>
        <v>2.4471894525045499E+18</v>
      </c>
      <c r="F340" s="4">
        <f t="shared" si="20"/>
        <v>7.3415944945047962E+18</v>
      </c>
      <c r="G340" s="4">
        <f t="shared" si="21"/>
        <v>7.34159867642338E+18</v>
      </c>
      <c r="H340" s="4">
        <f>SalaryFTECount*SalaryPerFTE*(1+SalaryGrowth)^338</f>
        <v>120084783030.20514</v>
      </c>
      <c r="I340" s="4">
        <f>SimOpsY1*(1+SimOpsGrowth)^338</f>
        <v>5947721290072954</v>
      </c>
      <c r="J340" s="4">
        <f>TrainDevY1*(1+TrainDevGrowth)^338</f>
        <v>2973860645036477</v>
      </c>
      <c r="K340" s="4">
        <f>AdminY1*(1+AdminGrowth)^338</f>
        <v>7151752149161.3877</v>
      </c>
      <c r="L340" s="4">
        <f t="shared" si="22"/>
        <v>8928853772041622</v>
      </c>
      <c r="M340" s="4">
        <f t="shared" si="23"/>
        <v>7.3326698226513388E+18</v>
      </c>
    </row>
    <row r="341" spans="1:13" x14ac:dyDescent="0.2">
      <c r="A341" s="3">
        <f>StartYear+339</f>
        <v>2364</v>
      </c>
      <c r="B341" s="4">
        <f>FacultyFTE*HoursPerWeek*WeeksPerYear*RatePerHour*(1+PracticeGrowth)^339</f>
        <v>4391014512487.1519</v>
      </c>
      <c r="C341" s="4">
        <f>StudentsY1*(1+StudentGrowth)^339*CreditsPerStudent*TuitionPerCredit</f>
        <v>27443840703044.699</v>
      </c>
      <c r="D341" s="4">
        <f>SimRevY1*(1+SimGrowth)^339</f>
        <v>5.3838167955100129E+18</v>
      </c>
      <c r="E341" s="4">
        <f>FacDevRevY1*(1+FacDevGrowth)^339</f>
        <v>2.6919083977550065E+18</v>
      </c>
      <c r="F341" s="4">
        <f t="shared" si="20"/>
        <v>8.0757526371057234E+18</v>
      </c>
      <c r="G341" s="4">
        <f t="shared" si="21"/>
        <v>8.075757028120236E+18</v>
      </c>
      <c r="H341" s="4">
        <f>SalaryFTECount*SalaryPerFTE*(1+SalaryGrowth)^339</f>
        <v>124888174351.41331</v>
      </c>
      <c r="I341" s="4">
        <f>SimOpsY1*(1+SimOpsGrowth)^339</f>
        <v>6423538993278791</v>
      </c>
      <c r="J341" s="4">
        <f>TrainDevY1*(1+TrainDevGrowth)^339</f>
        <v>3211769496639395.5</v>
      </c>
      <c r="K341" s="4">
        <f>AdminY1*(1+AdminGrowth)^339</f>
        <v>7580857278111.0713</v>
      </c>
      <c r="L341" s="4">
        <f t="shared" si="22"/>
        <v>9643014235370650</v>
      </c>
      <c r="M341" s="4">
        <f t="shared" si="23"/>
        <v>8.0661140138848655E+18</v>
      </c>
    </row>
    <row r="342" spans="1:13" x14ac:dyDescent="0.2">
      <c r="A342" s="3">
        <f>StartYear+340</f>
        <v>2365</v>
      </c>
      <c r="B342" s="4">
        <f>FacultyFTE*HoursPerWeek*WeeksPerYear*RatePerHour*(1+PracticeGrowth)^340</f>
        <v>4610565238111.5098</v>
      </c>
      <c r="C342" s="4">
        <f>StudentsY1*(1+StudentGrowth)^340*CreditsPerStudent*TuitionPerCredit</f>
        <v>28816032738196.934</v>
      </c>
      <c r="D342" s="4">
        <f>SimRevY1*(1+SimGrowth)^340</f>
        <v>5.9221984750610125E+18</v>
      </c>
      <c r="E342" s="4">
        <f>FacDevRevY1*(1+FacDevGrowth)^340</f>
        <v>2.9610992375305062E+18</v>
      </c>
      <c r="F342" s="4">
        <f t="shared" si="20"/>
        <v>8.883326528624257E+18</v>
      </c>
      <c r="G342" s="4">
        <f t="shared" si="21"/>
        <v>8.8833311391894948E+18</v>
      </c>
      <c r="H342" s="4">
        <f>SalaryFTECount*SalaryPerFTE*(1+SalaryGrowth)^340</f>
        <v>129883701325.46986</v>
      </c>
      <c r="I342" s="4">
        <f>SimOpsY1*(1+SimOpsGrowth)^340</f>
        <v>6937422112741094</v>
      </c>
      <c r="J342" s="4">
        <f>TrainDevY1*(1+TrainDevGrowth)^340</f>
        <v>3468711056370547</v>
      </c>
      <c r="K342" s="4">
        <f>AdminY1*(1+AdminGrowth)^340</f>
        <v>8035708714797.7363</v>
      </c>
      <c r="L342" s="4">
        <f t="shared" si="22"/>
        <v>1.0414298761527764E+16</v>
      </c>
      <c r="M342" s="4">
        <f t="shared" si="23"/>
        <v>8.8729168404279675E+18</v>
      </c>
    </row>
    <row r="343" spans="1:13" x14ac:dyDescent="0.2">
      <c r="A343" s="3">
        <f>StartYear+341</f>
        <v>2366</v>
      </c>
      <c r="B343" s="4">
        <f>FacultyFTE*HoursPerWeek*WeeksPerYear*RatePerHour*(1+PracticeGrowth)^341</f>
        <v>4841093500017.085</v>
      </c>
      <c r="C343" s="4">
        <f>StudentsY1*(1+StudentGrowth)^341*CreditsPerStudent*TuitionPerCredit</f>
        <v>30256834375106.777</v>
      </c>
      <c r="D343" s="4">
        <f>SimRevY1*(1+SimGrowth)^341</f>
        <v>6.5144183225671148E+18</v>
      </c>
      <c r="E343" s="4">
        <f>FacDevRevY1*(1+FacDevGrowth)^341</f>
        <v>3.2572091612835574E+18</v>
      </c>
      <c r="F343" s="4">
        <f t="shared" si="20"/>
        <v>9.7716577406850458E+18</v>
      </c>
      <c r="G343" s="4">
        <f t="shared" si="21"/>
        <v>9.7716625817785467E+18</v>
      </c>
      <c r="H343" s="4">
        <f>SalaryFTECount*SalaryPerFTE*(1+SalaryGrowth)^341</f>
        <v>135079049378.48869</v>
      </c>
      <c r="I343" s="4">
        <f>SimOpsY1*(1+SimOpsGrowth)^341</f>
        <v>7492415881760382</v>
      </c>
      <c r="J343" s="4">
        <f>TrainDevY1*(1+TrainDevGrowth)^341</f>
        <v>3746207940880191</v>
      </c>
      <c r="K343" s="4">
        <f>AdminY1*(1+AdminGrowth)^341</f>
        <v>8517851237685.6016</v>
      </c>
      <c r="L343" s="4">
        <f t="shared" si="22"/>
        <v>1.1247276752927638E+16</v>
      </c>
      <c r="M343" s="4">
        <f t="shared" si="23"/>
        <v>9.76041530502562E+18</v>
      </c>
    </row>
    <row r="344" spans="1:13" x14ac:dyDescent="0.2">
      <c r="A344" s="3">
        <f>StartYear+342</f>
        <v>2367</v>
      </c>
      <c r="B344" s="4">
        <f>FacultyFTE*HoursPerWeek*WeeksPerYear*RatePerHour*(1+PracticeGrowth)^342</f>
        <v>5083148175017.9385</v>
      </c>
      <c r="C344" s="4">
        <f>StudentsY1*(1+StudentGrowth)^342*CreditsPerStudent*TuitionPerCredit</f>
        <v>31769676093862.117</v>
      </c>
      <c r="D344" s="4">
        <f>SimRevY1*(1+SimGrowth)^342</f>
        <v>7.1658601548238264E+18</v>
      </c>
      <c r="E344" s="4">
        <f>FacDevRevY1*(1+FacDevGrowth)^342</f>
        <v>3.5829300774119132E+18</v>
      </c>
      <c r="F344" s="4">
        <f t="shared" si="20"/>
        <v>1.0748822001911833E+19</v>
      </c>
      <c r="G344" s="4">
        <f t="shared" si="21"/>
        <v>1.0748827085060008E+19</v>
      </c>
      <c r="H344" s="4">
        <f>SalaryFTECount*SalaryPerFTE*(1+SalaryGrowth)^342</f>
        <v>140482211353.62827</v>
      </c>
      <c r="I344" s="4">
        <f>SimOpsY1*(1+SimOpsGrowth)^342</f>
        <v>8091809152301213</v>
      </c>
      <c r="J344" s="4">
        <f>TrainDevY1*(1+TrainDevGrowth)^342</f>
        <v>4045904576150606.5</v>
      </c>
      <c r="K344" s="4">
        <f>AdminY1*(1+AdminGrowth)^342</f>
        <v>9028922311946.7383</v>
      </c>
      <c r="L344" s="4">
        <f t="shared" si="22"/>
        <v>1.214688313297512E+16</v>
      </c>
      <c r="M344" s="4">
        <f t="shared" si="23"/>
        <v>1.0736680201927033E+19</v>
      </c>
    </row>
    <row r="345" spans="1:13" x14ac:dyDescent="0.2">
      <c r="A345" s="3">
        <f>StartYear+343</f>
        <v>2368</v>
      </c>
      <c r="B345" s="4">
        <f>FacultyFTE*HoursPerWeek*WeeksPerYear*RatePerHour*(1+PracticeGrowth)^343</f>
        <v>5337305583768.8369</v>
      </c>
      <c r="C345" s="4">
        <f>StudentsY1*(1+StudentGrowth)^343*CreditsPerStudent*TuitionPerCredit</f>
        <v>33358159898555.227</v>
      </c>
      <c r="D345" s="4">
        <f>SimRevY1*(1+SimGrowth)^343</f>
        <v>7.8824461703062098E+18</v>
      </c>
      <c r="E345" s="4">
        <f>FacDevRevY1*(1+FacDevGrowth)^343</f>
        <v>3.9412230851531049E+18</v>
      </c>
      <c r="F345" s="4">
        <f t="shared" si="20"/>
        <v>1.1823702613619212E+19</v>
      </c>
      <c r="G345" s="4">
        <f t="shared" si="21"/>
        <v>1.1823707950924796E+19</v>
      </c>
      <c r="H345" s="4">
        <f>SalaryFTECount*SalaryPerFTE*(1+SalaryGrowth)^343</f>
        <v>146101499807.77335</v>
      </c>
      <c r="I345" s="4">
        <f>SimOpsY1*(1+SimOpsGrowth)^343</f>
        <v>8739153884485311</v>
      </c>
      <c r="J345" s="4">
        <f>TrainDevY1*(1+TrainDevGrowth)^343</f>
        <v>4369576942242655.5</v>
      </c>
      <c r="K345" s="4">
        <f>AdminY1*(1+AdminGrowth)^343</f>
        <v>9570657650663.543</v>
      </c>
      <c r="L345" s="4">
        <f t="shared" si="22"/>
        <v>1.3118447585878438E+16</v>
      </c>
      <c r="M345" s="4">
        <f t="shared" si="23"/>
        <v>1.1810589503338918E+19</v>
      </c>
    </row>
    <row r="346" spans="1:13" x14ac:dyDescent="0.2">
      <c r="A346" s="3">
        <f>StartYear+344</f>
        <v>2369</v>
      </c>
      <c r="B346" s="4">
        <f>FacultyFTE*HoursPerWeek*WeeksPerYear*RatePerHour*(1+PracticeGrowth)^344</f>
        <v>5604170862957.2773</v>
      </c>
      <c r="C346" s="4">
        <f>StudentsY1*(1+StudentGrowth)^344*CreditsPerStudent*TuitionPerCredit</f>
        <v>35026067893482.984</v>
      </c>
      <c r="D346" s="4">
        <f>SimRevY1*(1+SimGrowth)^344</f>
        <v>8.67069078733683E+18</v>
      </c>
      <c r="E346" s="4">
        <f>FacDevRevY1*(1+FacDevGrowth)^344</f>
        <v>4.335345393668415E+18</v>
      </c>
      <c r="F346" s="4">
        <f t="shared" si="20"/>
        <v>1.3006071207073139E+19</v>
      </c>
      <c r="G346" s="4">
        <f t="shared" si="21"/>
        <v>1.3006076811244001E+19</v>
      </c>
      <c r="H346" s="4">
        <f>SalaryFTECount*SalaryPerFTE*(1+SalaryGrowth)^344</f>
        <v>151945559800.08429</v>
      </c>
      <c r="I346" s="4">
        <f>SimOpsY1*(1+SimOpsGrowth)^344</f>
        <v>9438286195244136</v>
      </c>
      <c r="J346" s="4">
        <f>TrainDevY1*(1+TrainDevGrowth)^344</f>
        <v>4719143097622068</v>
      </c>
      <c r="K346" s="4">
        <f>AdminY1*(1+AdminGrowth)^344</f>
        <v>10144897109703.355</v>
      </c>
      <c r="L346" s="4">
        <f t="shared" si="22"/>
        <v>1.4167726135535708E+16</v>
      </c>
      <c r="M346" s="4">
        <f t="shared" si="23"/>
        <v>1.2991909085108466E+19</v>
      </c>
    </row>
    <row r="347" spans="1:13" x14ac:dyDescent="0.2">
      <c r="A347" s="3">
        <f>StartYear+345</f>
        <v>2370</v>
      </c>
      <c r="B347" s="4">
        <f>FacultyFTE*HoursPerWeek*WeeksPerYear*RatePerHour*(1+PracticeGrowth)^345</f>
        <v>5884379406105.1416</v>
      </c>
      <c r="C347" s="4">
        <f>StudentsY1*(1+StudentGrowth)^345*CreditsPerStudent*TuitionPerCredit</f>
        <v>36777371288157.133</v>
      </c>
      <c r="D347" s="4">
        <f>SimRevY1*(1+SimGrowth)^345</f>
        <v>9.5377598660705157E+18</v>
      </c>
      <c r="E347" s="4">
        <f>FacDevRevY1*(1+FacDevGrowth)^345</f>
        <v>4.7688799330352579E+18</v>
      </c>
      <c r="F347" s="4">
        <f t="shared" si="20"/>
        <v>1.4306676576477061E+19</v>
      </c>
      <c r="G347" s="4">
        <f t="shared" si="21"/>
        <v>1.4306682460856467E+19</v>
      </c>
      <c r="H347" s="4">
        <f>SalaryFTECount*SalaryPerFTE*(1+SalaryGrowth)^345</f>
        <v>158023382192.08771</v>
      </c>
      <c r="I347" s="4">
        <f>SimOpsY1*(1+SimOpsGrowth)^345</f>
        <v>1.0193349090863668E+16</v>
      </c>
      <c r="J347" s="4">
        <f>TrainDevY1*(1+TrainDevGrowth)^345</f>
        <v>5096674545431834</v>
      </c>
      <c r="K347" s="4">
        <f>AdminY1*(1+AdminGrowth)^345</f>
        <v>10753590936285.555</v>
      </c>
      <c r="L347" s="4">
        <f t="shared" si="22"/>
        <v>1.530093525061398E+16</v>
      </c>
      <c r="M347" s="4">
        <f t="shared" si="23"/>
        <v>1.4291381525605853E+19</v>
      </c>
    </row>
    <row r="348" spans="1:13" x14ac:dyDescent="0.2">
      <c r="A348" s="3">
        <f>StartYear+346</f>
        <v>2371</v>
      </c>
      <c r="B348" s="4">
        <f>FacultyFTE*HoursPerWeek*WeeksPerYear*RatePerHour*(1+PracticeGrowth)^346</f>
        <v>6178598376410.3994</v>
      </c>
      <c r="C348" s="4">
        <f>StudentsY1*(1+StudentGrowth)^346*CreditsPerStudent*TuitionPerCredit</f>
        <v>38616239852564.992</v>
      </c>
      <c r="D348" s="4">
        <f>SimRevY1*(1+SimGrowth)^346</f>
        <v>1.0491535852677566E+19</v>
      </c>
      <c r="E348" s="4">
        <f>FacDevRevY1*(1+FacDevGrowth)^346</f>
        <v>5.2457679263387832E+18</v>
      </c>
      <c r="F348" s="4">
        <f t="shared" si="20"/>
        <v>1.5737342395256203E+19</v>
      </c>
      <c r="G348" s="4">
        <f t="shared" si="21"/>
        <v>1.5737348573854579E+19</v>
      </c>
      <c r="H348" s="4">
        <f>SalaryFTECount*SalaryPerFTE*(1+SalaryGrowth)^346</f>
        <v>164344317479.77121</v>
      </c>
      <c r="I348" s="4">
        <f>SimOpsY1*(1+SimOpsGrowth)^346</f>
        <v>1.1008817018132762E+16</v>
      </c>
      <c r="J348" s="4">
        <f>TrainDevY1*(1+TrainDevGrowth)^346</f>
        <v>5504408509066381</v>
      </c>
      <c r="K348" s="4">
        <f>AdminY1*(1+AdminGrowth)^346</f>
        <v>11398806392462.691</v>
      </c>
      <c r="L348" s="4">
        <f t="shared" si="22"/>
        <v>1.6524788677909086E+16</v>
      </c>
      <c r="M348" s="4">
        <f t="shared" si="23"/>
        <v>1.572082378517667E+19</v>
      </c>
    </row>
    <row r="349" spans="1:13" x14ac:dyDescent="0.2">
      <c r="A349" s="3">
        <f>StartYear+347</f>
        <v>2372</v>
      </c>
      <c r="B349" s="4">
        <f>FacultyFTE*HoursPerWeek*WeeksPerYear*RatePerHour*(1+PracticeGrowth)^347</f>
        <v>6487528295230.9199</v>
      </c>
      <c r="C349" s="4">
        <f>StudentsY1*(1+StudentGrowth)^347*CreditsPerStudent*TuitionPerCredit</f>
        <v>40547051845193.25</v>
      </c>
      <c r="D349" s="4">
        <f>SimRevY1*(1+SimGrowth)^347</f>
        <v>1.1540689437945326E+19</v>
      </c>
      <c r="E349" s="4">
        <f>FacDevRevY1*(1+FacDevGrowth)^347</f>
        <v>5.7703447189726628E+18</v>
      </c>
      <c r="F349" s="4">
        <f t="shared" si="20"/>
        <v>1.7311074703969833E+19</v>
      </c>
      <c r="G349" s="4">
        <f t="shared" si="21"/>
        <v>1.7311081191498127E+19</v>
      </c>
      <c r="H349" s="4">
        <f>SalaryFTECount*SalaryPerFTE*(1+SalaryGrowth)^347</f>
        <v>170918090178.96207</v>
      </c>
      <c r="I349" s="4">
        <f>SimOpsY1*(1+SimOpsGrowth)^347</f>
        <v>1.188952237958338E+16</v>
      </c>
      <c r="J349" s="4">
        <f>TrainDevY1*(1+TrainDevGrowth)^347</f>
        <v>5944761189791690</v>
      </c>
      <c r="K349" s="4">
        <f>AdminY1*(1+AdminGrowth)^347</f>
        <v>12082734776010.453</v>
      </c>
      <c r="L349" s="4">
        <f t="shared" si="22"/>
        <v>1.7846537222241258E+16</v>
      </c>
      <c r="M349" s="4">
        <f t="shared" si="23"/>
        <v>1.7293234654275887E+19</v>
      </c>
    </row>
    <row r="350" spans="1:13" x14ac:dyDescent="0.2">
      <c r="A350" s="3">
        <f>StartYear+348</f>
        <v>2373</v>
      </c>
      <c r="B350" s="4">
        <f>FacultyFTE*HoursPerWeek*WeeksPerYear*RatePerHour*(1+PracticeGrowth)^348</f>
        <v>6811904709992.4648</v>
      </c>
      <c r="C350" s="4">
        <f>StudentsY1*(1+StudentGrowth)^348*CreditsPerStudent*TuitionPerCredit</f>
        <v>42574404437452.906</v>
      </c>
      <c r="D350" s="4">
        <f>SimRevY1*(1+SimGrowth)^348</f>
        <v>1.2694758381739858E+19</v>
      </c>
      <c r="E350" s="4">
        <f>FacDevRevY1*(1+FacDevGrowth)^348</f>
        <v>6.347379190869929E+18</v>
      </c>
      <c r="F350" s="4">
        <f t="shared" si="20"/>
        <v>1.9042180147014226E+19</v>
      </c>
      <c r="G350" s="4">
        <f t="shared" si="21"/>
        <v>1.9042186958918935E+19</v>
      </c>
      <c r="H350" s="4">
        <f>SalaryFTECount*SalaryPerFTE*(1+SalaryGrowth)^348</f>
        <v>177754813786.12057</v>
      </c>
      <c r="I350" s="4">
        <f>SimOpsY1*(1+SimOpsGrowth)^348</f>
        <v>1.2840684169950052E+16</v>
      </c>
      <c r="J350" s="4">
        <f>TrainDevY1*(1+TrainDevGrowth)^348</f>
        <v>6420342084975026</v>
      </c>
      <c r="K350" s="4">
        <f>AdminY1*(1+AdminGrowth)^348</f>
        <v>12807698862571.082</v>
      </c>
      <c r="L350" s="4">
        <f t="shared" si="22"/>
        <v>1.9274011708601436E+16</v>
      </c>
      <c r="M350" s="4">
        <f t="shared" si="23"/>
        <v>1.9022912947210334E+19</v>
      </c>
    </row>
    <row r="351" spans="1:13" x14ac:dyDescent="0.2">
      <c r="A351" s="3">
        <f>StartYear+349</f>
        <v>2374</v>
      </c>
      <c r="B351" s="4">
        <f>FacultyFTE*HoursPerWeek*WeeksPerYear*RatePerHour*(1+PracticeGrowth)^349</f>
        <v>7152499945492.0889</v>
      </c>
      <c r="C351" s="4">
        <f>StudentsY1*(1+StudentGrowth)^349*CreditsPerStudent*TuitionPerCredit</f>
        <v>44703124659325.555</v>
      </c>
      <c r="D351" s="4">
        <f>SimRevY1*(1+SimGrowth)^349</f>
        <v>1.3964234219913845E+19</v>
      </c>
      <c r="E351" s="4">
        <f>FacDevRevY1*(1+FacDevGrowth)^349</f>
        <v>6.9821171099569224E+18</v>
      </c>
      <c r="F351" s="4">
        <f t="shared" si="20"/>
        <v>2.0946396032995426E+19</v>
      </c>
      <c r="G351" s="4">
        <f t="shared" si="21"/>
        <v>2.0946403185495372E+19</v>
      </c>
      <c r="H351" s="4">
        <f>SalaryFTECount*SalaryPerFTE*(1+SalaryGrowth)^349</f>
        <v>184865006337.5654</v>
      </c>
      <c r="I351" s="4">
        <f>SimOpsY1*(1+SimOpsGrowth)^349</f>
        <v>1.3867938903546058E+16</v>
      </c>
      <c r="J351" s="4">
        <f>TrainDevY1*(1+TrainDevGrowth)^349</f>
        <v>6933969451773029</v>
      </c>
      <c r="K351" s="4">
        <f>AdminY1*(1+AdminGrowth)^349</f>
        <v>13576160794325.348</v>
      </c>
      <c r="L351" s="4">
        <f t="shared" si="22"/>
        <v>2.0815669381119748E+16</v>
      </c>
      <c r="M351" s="4">
        <f t="shared" si="23"/>
        <v>2.0925587516114252E+19</v>
      </c>
    </row>
    <row r="352" spans="1:13" x14ac:dyDescent="0.2">
      <c r="A352" s="3">
        <f>StartYear+350</f>
        <v>2375</v>
      </c>
      <c r="B352" s="4">
        <f>FacultyFTE*HoursPerWeek*WeeksPerYear*RatePerHour*(1+PracticeGrowth)^350</f>
        <v>7510124942766.6904</v>
      </c>
      <c r="C352" s="4">
        <f>StudentsY1*(1+StudentGrowth)^350*CreditsPerStudent*TuitionPerCredit</f>
        <v>46938280892291.812</v>
      </c>
      <c r="D352" s="4">
        <f>SimRevY1*(1+SimGrowth)^350</f>
        <v>1.5360657641905232E+19</v>
      </c>
      <c r="E352" s="4">
        <f>FacDevRevY1*(1+FacDevGrowth)^350</f>
        <v>7.6803288209526159E+18</v>
      </c>
      <c r="F352" s="4">
        <f t="shared" si="20"/>
        <v>2.3041033401138741E+19</v>
      </c>
      <c r="G352" s="4">
        <f t="shared" si="21"/>
        <v>2.3041040911263683E+19</v>
      </c>
      <c r="H352" s="4">
        <f>SalaryFTECount*SalaryPerFTE*(1+SalaryGrowth)^350</f>
        <v>192259606591.06799</v>
      </c>
      <c r="I352" s="4">
        <f>SimOpsY1*(1+SimOpsGrowth)^350</f>
        <v>1.4977374015829744E+16</v>
      </c>
      <c r="J352" s="4">
        <f>TrainDevY1*(1+TrainDevGrowth)^350</f>
        <v>7488687007914872</v>
      </c>
      <c r="K352" s="4">
        <f>AdminY1*(1+AdminGrowth)^350</f>
        <v>14390730441984.871</v>
      </c>
      <c r="L352" s="4">
        <f t="shared" si="22"/>
        <v>2.2480644013793192E+16</v>
      </c>
      <c r="M352" s="4">
        <f t="shared" si="23"/>
        <v>2.3018560267249889E+19</v>
      </c>
    </row>
    <row r="353" spans="1:13" x14ac:dyDescent="0.2">
      <c r="A353" s="3">
        <f>StartYear+351</f>
        <v>2376</v>
      </c>
      <c r="B353" s="4">
        <f>FacultyFTE*HoursPerWeek*WeeksPerYear*RatePerHour*(1+PracticeGrowth)^351</f>
        <v>7885631189905.0283</v>
      </c>
      <c r="C353" s="4">
        <f>StudentsY1*(1+StudentGrowth)^351*CreditsPerStudent*TuitionPerCredit</f>
        <v>49285194936906.43</v>
      </c>
      <c r="D353" s="4">
        <f>SimRevY1*(1+SimGrowth)^351</f>
        <v>1.6896723406095755E+19</v>
      </c>
      <c r="E353" s="4">
        <f>FacDevRevY1*(1+FacDevGrowth)^351</f>
        <v>8.4483617030478776E+18</v>
      </c>
      <c r="F353" s="4">
        <f t="shared" si="20"/>
        <v>2.534513439433857E+19</v>
      </c>
      <c r="G353" s="4">
        <f t="shared" si="21"/>
        <v>2.5345142279969759E+19</v>
      </c>
      <c r="H353" s="4">
        <f>SalaryFTECount*SalaryPerFTE*(1+SalaryGrowth)^351</f>
        <v>199949990854.71069</v>
      </c>
      <c r="I353" s="4">
        <f>SimOpsY1*(1+SimOpsGrowth)^351</f>
        <v>1.6175563937096126E+16</v>
      </c>
      <c r="J353" s="4">
        <f>TrainDevY1*(1+TrainDevGrowth)^351</f>
        <v>8087781968548063</v>
      </c>
      <c r="K353" s="4">
        <f>AdminY1*(1+AdminGrowth)^351</f>
        <v>15254174268503.967</v>
      </c>
      <c r="L353" s="4">
        <f t="shared" si="22"/>
        <v>2.4278800029903548E+16</v>
      </c>
      <c r="M353" s="4">
        <f t="shared" si="23"/>
        <v>2.5320863479939854E+19</v>
      </c>
    </row>
    <row r="354" spans="1:13" x14ac:dyDescent="0.2">
      <c r="A354" s="3">
        <f>StartYear+352</f>
        <v>2377</v>
      </c>
      <c r="B354" s="4">
        <f>FacultyFTE*HoursPerWeek*WeeksPerYear*RatePerHour*(1+PracticeGrowth)^352</f>
        <v>8279912749400.2793</v>
      </c>
      <c r="C354" s="4">
        <f>StudentsY1*(1+StudentGrowth)^352*CreditsPerStudent*TuitionPerCredit</f>
        <v>51749454683751.742</v>
      </c>
      <c r="D354" s="4">
        <f>SimRevY1*(1+SimGrowth)^352</f>
        <v>1.858639574670533E+19</v>
      </c>
      <c r="E354" s="4">
        <f>FacDevRevY1*(1+FacDevGrowth)^352</f>
        <v>9.2931978733526651E+18</v>
      </c>
      <c r="F354" s="4">
        <f t="shared" si="20"/>
        <v>2.7879645369512681E+19</v>
      </c>
      <c r="G354" s="4">
        <f t="shared" si="21"/>
        <v>2.7879653649425433E+19</v>
      </c>
      <c r="H354" s="4">
        <f>SalaryFTECount*SalaryPerFTE*(1+SalaryGrowth)^352</f>
        <v>207947990488.89917</v>
      </c>
      <c r="I354" s="4">
        <f>SimOpsY1*(1+SimOpsGrowth)^352</f>
        <v>1.7469609052063818E+16</v>
      </c>
      <c r="J354" s="4">
        <f>TrainDevY1*(1+TrainDevGrowth)^352</f>
        <v>8734804526031909</v>
      </c>
      <c r="K354" s="4">
        <f>AdminY1*(1+AdminGrowth)^352</f>
        <v>16169424724614.201</v>
      </c>
      <c r="L354" s="4">
        <f t="shared" si="22"/>
        <v>2.6220790950810832E+16</v>
      </c>
      <c r="M354" s="4">
        <f t="shared" si="23"/>
        <v>2.7853432858474623E+19</v>
      </c>
    </row>
    <row r="355" spans="1:13" x14ac:dyDescent="0.2">
      <c r="A355" s="3">
        <f>StartYear+353</f>
        <v>2378</v>
      </c>
      <c r="B355" s="4">
        <f>FacultyFTE*HoursPerWeek*WeeksPerYear*RatePerHour*(1+PracticeGrowth)^353</f>
        <v>8693908386870.2939</v>
      </c>
      <c r="C355" s="4">
        <f>StudentsY1*(1+StudentGrowth)^353*CreditsPerStudent*TuitionPerCredit</f>
        <v>54336927417939.328</v>
      </c>
      <c r="D355" s="4">
        <f>SimRevY1*(1+SimGrowth)^353</f>
        <v>2.0445035321375867E+19</v>
      </c>
      <c r="E355" s="4">
        <f>FacDevRevY1*(1+FacDevGrowth)^353</f>
        <v>1.0222517660687933E+19</v>
      </c>
      <c r="F355" s="4">
        <f t="shared" si="20"/>
        <v>3.0667607318991217E+19</v>
      </c>
      <c r="G355" s="4">
        <f t="shared" si="21"/>
        <v>3.0667616012899602E+19</v>
      </c>
      <c r="H355" s="4">
        <f>SalaryFTECount*SalaryPerFTE*(1+SalaryGrowth)^353</f>
        <v>216265910108.45514</v>
      </c>
      <c r="I355" s="4">
        <f>SimOpsY1*(1+SimOpsGrowth)^353</f>
        <v>1.886717777622892E+16</v>
      </c>
      <c r="J355" s="4">
        <f>TrainDevY1*(1+TrainDevGrowth)^353</f>
        <v>9433588888114460</v>
      </c>
      <c r="K355" s="4">
        <f>AdminY1*(1+AdminGrowth)^353</f>
        <v>17139590208091.051</v>
      </c>
      <c r="L355" s="4">
        <f t="shared" si="22"/>
        <v>2.831812252046158E+16</v>
      </c>
      <c r="M355" s="4">
        <f t="shared" si="23"/>
        <v>3.0639297890379141E+19</v>
      </c>
    </row>
    <row r="356" spans="1:13" x14ac:dyDescent="0.2">
      <c r="A356" s="3">
        <f>StartYear+354</f>
        <v>2379</v>
      </c>
      <c r="B356" s="4">
        <f>FacultyFTE*HoursPerWeek*WeeksPerYear*RatePerHour*(1+PracticeGrowth)^354</f>
        <v>9128603806213.8086</v>
      </c>
      <c r="C356" s="4">
        <f>StudentsY1*(1+StudentGrowth)^354*CreditsPerStudent*TuitionPerCredit</f>
        <v>57053773788836.305</v>
      </c>
      <c r="D356" s="4">
        <f>SimRevY1*(1+SimGrowth)^354</f>
        <v>2.2489538853513454E+19</v>
      </c>
      <c r="E356" s="4">
        <f>FacDevRevY1*(1+FacDevGrowth)^354</f>
        <v>1.1244769426756727E+19</v>
      </c>
      <c r="F356" s="4">
        <f t="shared" si="20"/>
        <v>3.3734365334043967E+19</v>
      </c>
      <c r="G356" s="4">
        <f t="shared" si="21"/>
        <v>3.3734374462647775E+19</v>
      </c>
      <c r="H356" s="4">
        <f>SalaryFTECount*SalaryPerFTE*(1+SalaryGrowth)^354</f>
        <v>224916546512.79337</v>
      </c>
      <c r="I356" s="4">
        <f>SimOpsY1*(1+SimOpsGrowth)^354</f>
        <v>2.0376551998327236E+16</v>
      </c>
      <c r="J356" s="4">
        <f>TrainDevY1*(1+TrainDevGrowth)^354</f>
        <v>1.0188275999163618E+16</v>
      </c>
      <c r="K356" s="4">
        <f>AdminY1*(1+AdminGrowth)^354</f>
        <v>18167965620576.52</v>
      </c>
      <c r="L356" s="4">
        <f t="shared" si="22"/>
        <v>3.0583220879657944E+16</v>
      </c>
      <c r="M356" s="4">
        <f t="shared" si="23"/>
        <v>3.3703791241768116E+19</v>
      </c>
    </row>
    <row r="357" spans="1:13" x14ac:dyDescent="0.2">
      <c r="A357" s="3">
        <f>StartYear+355</f>
        <v>2380</v>
      </c>
      <c r="B357" s="4">
        <f>FacultyFTE*HoursPerWeek*WeeksPerYear*RatePerHour*(1+PracticeGrowth)^355</f>
        <v>9585033996524.5</v>
      </c>
      <c r="C357" s="4">
        <f>StudentsY1*(1+StudentGrowth)^355*CreditsPerStudent*TuitionPerCredit</f>
        <v>59906462478278.117</v>
      </c>
      <c r="D357" s="4">
        <f>SimRevY1*(1+SimGrowth)^355</f>
        <v>2.4738492738864804E+19</v>
      </c>
      <c r="E357" s="4">
        <f>FacDevRevY1*(1+FacDevGrowth)^355</f>
        <v>1.2369246369432402E+19</v>
      </c>
      <c r="F357" s="4">
        <f t="shared" si="20"/>
        <v>3.7107799014759686E+19</v>
      </c>
      <c r="G357" s="4">
        <f t="shared" si="21"/>
        <v>3.710780859979368E+19</v>
      </c>
      <c r="H357" s="4">
        <f>SalaryFTECount*SalaryPerFTE*(1+SalaryGrowth)^355</f>
        <v>233913208373.30508</v>
      </c>
      <c r="I357" s="4">
        <f>SimOpsY1*(1+SimOpsGrowth)^355</f>
        <v>2.2006676158193416E+16</v>
      </c>
      <c r="J357" s="4">
        <f>TrainDevY1*(1+TrainDevGrowth)^355</f>
        <v>1.1003338079096708E+16</v>
      </c>
      <c r="K357" s="4">
        <f>AdminY1*(1+AdminGrowth)^355</f>
        <v>19258043557811.109</v>
      </c>
      <c r="L357" s="4">
        <f t="shared" si="22"/>
        <v>3.3029506194056308E+16</v>
      </c>
      <c r="M357" s="4">
        <f t="shared" si="23"/>
        <v>3.7074779093599625E+19</v>
      </c>
    </row>
    <row r="358" spans="1:13" x14ac:dyDescent="0.2">
      <c r="A358" s="3">
        <f>StartYear+356</f>
        <v>2381</v>
      </c>
      <c r="B358" s="4">
        <f>FacultyFTE*HoursPerWeek*WeeksPerYear*RatePerHour*(1+PracticeGrowth)^356</f>
        <v>10064285696350.723</v>
      </c>
      <c r="C358" s="4">
        <f>StudentsY1*(1+StudentGrowth)^356*CreditsPerStudent*TuitionPerCredit</f>
        <v>62901785602192.016</v>
      </c>
      <c r="D358" s="4">
        <f>SimRevY1*(1+SimGrowth)^356</f>
        <v>2.7212342012751286E+19</v>
      </c>
      <c r="E358" s="4">
        <f>FacDevRevY1*(1+FacDevGrowth)^356</f>
        <v>1.3606171006375643E+19</v>
      </c>
      <c r="F358" s="4">
        <f t="shared" si="20"/>
        <v>4.0818575920912531E+19</v>
      </c>
      <c r="G358" s="4">
        <f t="shared" si="21"/>
        <v>4.0818585985198227E+19</v>
      </c>
      <c r="H358" s="4">
        <f>SalaryFTECount*SalaryPerFTE*(1+SalaryGrowth)^356</f>
        <v>243269736708.23727</v>
      </c>
      <c r="I358" s="4">
        <f>SimOpsY1*(1+SimOpsGrowth)^356</f>
        <v>2.3767210250848896E+16</v>
      </c>
      <c r="J358" s="4">
        <f>TrainDevY1*(1+TrainDevGrowth)^356</f>
        <v>1.1883605125424448E+16</v>
      </c>
      <c r="K358" s="4">
        <f>AdminY1*(1+AdminGrowth)^356</f>
        <v>20413526171279.777</v>
      </c>
      <c r="L358" s="4">
        <f t="shared" si="22"/>
        <v>3.5671472172181332E+16</v>
      </c>
      <c r="M358" s="4">
        <f t="shared" si="23"/>
        <v>4.0782914513026048E+19</v>
      </c>
    </row>
    <row r="359" spans="1:13" x14ac:dyDescent="0.2">
      <c r="A359" s="3">
        <f>StartYear+357</f>
        <v>2382</v>
      </c>
      <c r="B359" s="4">
        <f>FacultyFTE*HoursPerWeek*WeeksPerYear*RatePerHour*(1+PracticeGrowth)^357</f>
        <v>10567499981168.26</v>
      </c>
      <c r="C359" s="4">
        <f>StudentsY1*(1+StudentGrowth)^357*CreditsPerStudent*TuitionPerCredit</f>
        <v>66046874882301.625</v>
      </c>
      <c r="D359" s="4">
        <f>SimRevY1*(1+SimGrowth)^357</f>
        <v>2.9933576214026412E+19</v>
      </c>
      <c r="E359" s="4">
        <f>FacDevRevY1*(1+FacDevGrowth)^357</f>
        <v>1.4966788107013206E+19</v>
      </c>
      <c r="F359" s="4">
        <f t="shared" si="20"/>
        <v>4.49004303679145E+19</v>
      </c>
      <c r="G359" s="4">
        <f t="shared" si="21"/>
        <v>4.4900440935414481E+19</v>
      </c>
      <c r="H359" s="4">
        <f>SalaryFTECount*SalaryPerFTE*(1+SalaryGrowth)^357</f>
        <v>253000526176.56686</v>
      </c>
      <c r="I359" s="4">
        <f>SimOpsY1*(1+SimOpsGrowth)^357</f>
        <v>2.56685870709168E+16</v>
      </c>
      <c r="J359" s="4">
        <f>TrainDevY1*(1+TrainDevGrowth)^357</f>
        <v>1.28342935354584E+16</v>
      </c>
      <c r="K359" s="4">
        <f>AdminY1*(1+AdminGrowth)^357</f>
        <v>21638337741556.562</v>
      </c>
      <c r="L359" s="4">
        <f t="shared" si="22"/>
        <v>3.8524771944642936E+16</v>
      </c>
      <c r="M359" s="4">
        <f t="shared" si="23"/>
        <v>4.4861916163469836E+19</v>
      </c>
    </row>
    <row r="360" spans="1:13" x14ac:dyDescent="0.2">
      <c r="A360" s="3">
        <f>StartYear+358</f>
        <v>2383</v>
      </c>
      <c r="B360" s="4">
        <f>FacultyFTE*HoursPerWeek*WeeksPerYear*RatePerHour*(1+PracticeGrowth)^358</f>
        <v>11095874980226.672</v>
      </c>
      <c r="C360" s="4">
        <f>StudentsY1*(1+StudentGrowth)^358*CreditsPerStudent*TuitionPerCredit</f>
        <v>69349218626416.703</v>
      </c>
      <c r="D360" s="4">
        <f>SimRevY1*(1+SimGrowth)^358</f>
        <v>3.2926933835429057E+19</v>
      </c>
      <c r="E360" s="4">
        <f>FacDevRevY1*(1+FacDevGrowth)^358</f>
        <v>1.6463466917714528E+19</v>
      </c>
      <c r="F360" s="4">
        <f t="shared" si="20"/>
        <v>4.939047010236221E+19</v>
      </c>
      <c r="G360" s="4">
        <f t="shared" si="21"/>
        <v>4.9390481198237188E+19</v>
      </c>
      <c r="H360" s="4">
        <f>SalaryFTECount*SalaryPerFTE*(1+SalaryGrowth)^358</f>
        <v>263120547223.62949</v>
      </c>
      <c r="I360" s="4">
        <f>SimOpsY1*(1+SimOpsGrowth)^358</f>
        <v>2.7722074036590152E+16</v>
      </c>
      <c r="J360" s="4">
        <f>TrainDevY1*(1+TrainDevGrowth)^358</f>
        <v>1.3861037018295076E+16</v>
      </c>
      <c r="K360" s="4">
        <f>AdminY1*(1+AdminGrowth)^358</f>
        <v>22936638006049.961</v>
      </c>
      <c r="L360" s="4">
        <f t="shared" si="22"/>
        <v>4.1606310813438496E+16</v>
      </c>
      <c r="M360" s="4">
        <f t="shared" si="23"/>
        <v>4.9348874887423746E+19</v>
      </c>
    </row>
    <row r="361" spans="1:13" x14ac:dyDescent="0.2">
      <c r="A361" s="3">
        <f>StartYear+359</f>
        <v>2384</v>
      </c>
      <c r="B361" s="4">
        <f>FacultyFTE*HoursPerWeek*WeeksPerYear*RatePerHour*(1+PracticeGrowth)^359</f>
        <v>11650668729238.008</v>
      </c>
      <c r="C361" s="4">
        <f>StudentsY1*(1+StudentGrowth)^359*CreditsPerStudent*TuitionPerCredit</f>
        <v>72816679557737.547</v>
      </c>
      <c r="D361" s="4">
        <f>SimRevY1*(1+SimGrowth)^359</f>
        <v>3.6219627218971967E+19</v>
      </c>
      <c r="E361" s="4">
        <f>FacDevRevY1*(1+FacDevGrowth)^359</f>
        <v>1.8109813609485984E+19</v>
      </c>
      <c r="F361" s="4">
        <f t="shared" si="20"/>
        <v>5.432951364513751E+19</v>
      </c>
      <c r="G361" s="4">
        <f t="shared" si="21"/>
        <v>5.4329525295806243E+19</v>
      </c>
      <c r="H361" s="4">
        <f>SalaryFTECount*SalaryPerFTE*(1+SalaryGrowth)^359</f>
        <v>273645369112.57468</v>
      </c>
      <c r="I361" s="4">
        <f>SimOpsY1*(1+SimOpsGrowth)^359</f>
        <v>2.993983995951736E+16</v>
      </c>
      <c r="J361" s="4">
        <f>TrainDevY1*(1+TrainDevGrowth)^359</f>
        <v>1.496991997975868E+16</v>
      </c>
      <c r="K361" s="4">
        <f>AdminY1*(1+AdminGrowth)^359</f>
        <v>24312836286412.965</v>
      </c>
      <c r="L361" s="4">
        <f t="shared" si="22"/>
        <v>4.4934346420931568E+16</v>
      </c>
      <c r="M361" s="4">
        <f t="shared" si="23"/>
        <v>5.4284590949385314E+19</v>
      </c>
    </row>
    <row r="362" spans="1:13" x14ac:dyDescent="0.2">
      <c r="A362" s="3">
        <f>StartYear+360</f>
        <v>2385</v>
      </c>
      <c r="B362" s="4">
        <f>FacultyFTE*HoursPerWeek*WeeksPerYear*RatePerHour*(1+PracticeGrowth)^360</f>
        <v>12233202165699.906</v>
      </c>
      <c r="C362" s="4">
        <f>StudentsY1*(1+StudentGrowth)^360*CreditsPerStudent*TuitionPerCredit</f>
        <v>76457513535624.406</v>
      </c>
      <c r="D362" s="4">
        <f>SimRevY1*(1+SimGrowth)^360</f>
        <v>3.9841589940869161E+19</v>
      </c>
      <c r="E362" s="4">
        <f>FacDevRevY1*(1+FacDevGrowth)^360</f>
        <v>1.992079497043458E+19</v>
      </c>
      <c r="F362" s="4">
        <f t="shared" si="20"/>
        <v>5.9762461368817271E+19</v>
      </c>
      <c r="G362" s="4">
        <f t="shared" si="21"/>
        <v>5.9762473602019434E+19</v>
      </c>
      <c r="H362" s="4">
        <f>SalaryFTECount*SalaryPerFTE*(1+SalaryGrowth)^360</f>
        <v>284591183877.07776</v>
      </c>
      <c r="I362" s="4">
        <f>SimOpsY1*(1+SimOpsGrowth)^360</f>
        <v>3.2335027156278752E+16</v>
      </c>
      <c r="J362" s="4">
        <f>TrainDevY1*(1+TrainDevGrowth)^360</f>
        <v>1.6167513578139376E+16</v>
      </c>
      <c r="K362" s="4">
        <f>AdminY1*(1+AdminGrowth)^360</f>
        <v>25771606463597.738</v>
      </c>
      <c r="L362" s="4">
        <f t="shared" si="22"/>
        <v>4.85285969320656E+16</v>
      </c>
      <c r="M362" s="4">
        <f t="shared" si="23"/>
        <v>5.9713945005087367E+19</v>
      </c>
    </row>
    <row r="363" spans="1:13" x14ac:dyDescent="0.2">
      <c r="A363" s="3">
        <f>StartYear+361</f>
        <v>2386</v>
      </c>
      <c r="B363" s="4">
        <f>FacultyFTE*HoursPerWeek*WeeksPerYear*RatePerHour*(1+PracticeGrowth)^361</f>
        <v>12844862273984.902</v>
      </c>
      <c r="C363" s="4">
        <f>StudentsY1*(1+StudentGrowth)^361*CreditsPerStudent*TuitionPerCredit</f>
        <v>80280389212405.641</v>
      </c>
      <c r="D363" s="4">
        <f>SimRevY1*(1+SimGrowth)^361</f>
        <v>4.3825748934956081E+19</v>
      </c>
      <c r="E363" s="4">
        <f>FacDevRevY1*(1+FacDevGrowth)^361</f>
        <v>2.1912874467478041E+19</v>
      </c>
      <c r="F363" s="4">
        <f t="shared" si="20"/>
        <v>6.573870368282334E+19</v>
      </c>
      <c r="G363" s="4">
        <f t="shared" si="21"/>
        <v>6.5738716527685616E+19</v>
      </c>
      <c r="H363" s="4">
        <f>SalaryFTECount*SalaryPerFTE*(1+SalaryGrowth)^361</f>
        <v>295974831232.16083</v>
      </c>
      <c r="I363" s="4">
        <f>SimOpsY1*(1+SimOpsGrowth)^361</f>
        <v>3.4921829328781056E+16</v>
      </c>
      <c r="J363" s="4">
        <f>TrainDevY1*(1+TrainDevGrowth)^361</f>
        <v>1.7460914664390528E+16</v>
      </c>
      <c r="K363" s="4">
        <f>AdminY1*(1+AdminGrowth)^361</f>
        <v>27317902851413.602</v>
      </c>
      <c r="L363" s="4">
        <f t="shared" si="22"/>
        <v>5.2410357870854232E+16</v>
      </c>
      <c r="M363" s="4">
        <f t="shared" si="23"/>
        <v>6.5686306169814761E+19</v>
      </c>
    </row>
    <row r="364" spans="1:13" x14ac:dyDescent="0.2">
      <c r="A364" s="3">
        <f>StartYear+362</f>
        <v>2387</v>
      </c>
      <c r="B364" s="4">
        <f>FacultyFTE*HoursPerWeek*WeeksPerYear*RatePerHour*(1+PracticeGrowth)^362</f>
        <v>13487105387684.148</v>
      </c>
      <c r="C364" s="4">
        <f>StudentsY1*(1+StudentGrowth)^362*CreditsPerStudent*TuitionPerCredit</f>
        <v>84294408673025.938</v>
      </c>
      <c r="D364" s="4">
        <f>SimRevY1*(1+SimGrowth)^362</f>
        <v>4.8208323828451697E+19</v>
      </c>
      <c r="E364" s="4">
        <f>FacDevRevY1*(1+FacDevGrowth)^362</f>
        <v>2.4104161914225848E+19</v>
      </c>
      <c r="F364" s="4">
        <f t="shared" si="20"/>
        <v>7.2312570037086224E+19</v>
      </c>
      <c r="G364" s="4">
        <f t="shared" si="21"/>
        <v>7.2312583524191609E+19</v>
      </c>
      <c r="H364" s="4">
        <f>SalaryFTECount*SalaryPerFTE*(1+SalaryGrowth)^362</f>
        <v>307813824481.44727</v>
      </c>
      <c r="I364" s="4">
        <f>SimOpsY1*(1+SimOpsGrowth)^362</f>
        <v>3.7715575675083536E+16</v>
      </c>
      <c r="J364" s="4">
        <f>TrainDevY1*(1+TrainDevGrowth)^362</f>
        <v>1.8857787837541768E+16</v>
      </c>
      <c r="K364" s="4">
        <f>AdminY1*(1+AdminGrowth)^362</f>
        <v>28956977022498.422</v>
      </c>
      <c r="L364" s="4">
        <f t="shared" si="22"/>
        <v>5.660262830347228E+16</v>
      </c>
      <c r="M364" s="4">
        <f t="shared" si="23"/>
        <v>7.2255980895888138E+19</v>
      </c>
    </row>
    <row r="365" spans="1:13" x14ac:dyDescent="0.2">
      <c r="A365" s="3">
        <f>StartYear+363</f>
        <v>2388</v>
      </c>
      <c r="B365" s="4">
        <f>FacultyFTE*HoursPerWeek*WeeksPerYear*RatePerHour*(1+PracticeGrowth)^363</f>
        <v>14161460657068.357</v>
      </c>
      <c r="C365" s="4">
        <f>StudentsY1*(1+StudentGrowth)^363*CreditsPerStudent*TuitionPerCredit</f>
        <v>88509129106677.25</v>
      </c>
      <c r="D365" s="4">
        <f>SimRevY1*(1+SimGrowth)^363</f>
        <v>5.302915621129687E+19</v>
      </c>
      <c r="E365" s="4">
        <f>FacDevRevY1*(1+FacDevGrowth)^363</f>
        <v>2.6514578105648435E+19</v>
      </c>
      <c r="F365" s="4">
        <f t="shared" si="20"/>
        <v>7.9543822826074407E+19</v>
      </c>
      <c r="G365" s="4">
        <f t="shared" si="21"/>
        <v>7.9543836987535065E+19</v>
      </c>
      <c r="H365" s="4">
        <f>SalaryFTECount*SalaryPerFTE*(1+SalaryGrowth)^363</f>
        <v>320126377460.70514</v>
      </c>
      <c r="I365" s="4">
        <f>SimOpsY1*(1+SimOpsGrowth)^363</f>
        <v>4.0732821729090216E+16</v>
      </c>
      <c r="J365" s="4">
        <f>TrainDevY1*(1+TrainDevGrowth)^363</f>
        <v>2.0366410864545108E+16</v>
      </c>
      <c r="K365" s="4">
        <f>AdminY1*(1+AdminGrowth)^363</f>
        <v>30694395643848.328</v>
      </c>
      <c r="L365" s="4">
        <f t="shared" si="22"/>
        <v>6.1130247115656632E+16</v>
      </c>
      <c r="M365" s="4">
        <f t="shared" si="23"/>
        <v>7.9482706740419412E+19</v>
      </c>
    </row>
    <row r="366" spans="1:13" x14ac:dyDescent="0.2">
      <c r="A366" s="3">
        <f>StartYear+364</f>
        <v>2389</v>
      </c>
      <c r="B366" s="4">
        <f>FacultyFTE*HoursPerWeek*WeeksPerYear*RatePerHour*(1+PracticeGrowth)^364</f>
        <v>14869533689921.771</v>
      </c>
      <c r="C366" s="4">
        <f>StudentsY1*(1+StudentGrowth)^364*CreditsPerStudent*TuitionPerCredit</f>
        <v>92934585562011.078</v>
      </c>
      <c r="D366" s="4">
        <f>SimRevY1*(1+SimGrowth)^364</f>
        <v>5.8332071832426562E+19</v>
      </c>
      <c r="E366" s="4">
        <f>FacDevRevY1*(1+FacDevGrowth)^364</f>
        <v>2.9166035916213281E+19</v>
      </c>
      <c r="F366" s="4">
        <f t="shared" si="20"/>
        <v>8.7498200683225416E+19</v>
      </c>
      <c r="G366" s="4">
        <f t="shared" si="21"/>
        <v>8.7498215552759103E+19</v>
      </c>
      <c r="H366" s="4">
        <f>SalaryFTECount*SalaryPerFTE*(1+SalaryGrowth)^364</f>
        <v>332931432559.13342</v>
      </c>
      <c r="I366" s="4">
        <f>SimOpsY1*(1+SimOpsGrowth)^364</f>
        <v>4.3991447467417448E+16</v>
      </c>
      <c r="J366" s="4">
        <f>TrainDevY1*(1+TrainDevGrowth)^364</f>
        <v>2.1995723733708724E+16</v>
      </c>
      <c r="K366" s="4">
        <f>AdminY1*(1+AdminGrowth)^364</f>
        <v>32536059382479.234</v>
      </c>
      <c r="L366" s="4">
        <f t="shared" si="22"/>
        <v>6.6020040191941216E+16</v>
      </c>
      <c r="M366" s="4">
        <f t="shared" si="23"/>
        <v>8.7432195512567169E+19</v>
      </c>
    </row>
    <row r="367" spans="1:13" x14ac:dyDescent="0.2">
      <c r="A367" s="3">
        <f>StartYear+365</f>
        <v>2390</v>
      </c>
      <c r="B367" s="4">
        <f>FacultyFTE*HoursPerWeek*WeeksPerYear*RatePerHour*(1+PracticeGrowth)^365</f>
        <v>15613010374417.865</v>
      </c>
      <c r="C367" s="4">
        <f>StudentsY1*(1+StudentGrowth)^365*CreditsPerStudent*TuitionPerCredit</f>
        <v>97581314840111.641</v>
      </c>
      <c r="D367" s="4">
        <f>SimRevY1*(1+SimGrowth)^365</f>
        <v>6.4165279015669228E+19</v>
      </c>
      <c r="E367" s="4">
        <f>FacDevRevY1*(1+FacDevGrowth)^365</f>
        <v>3.2082639507834614E+19</v>
      </c>
      <c r="F367" s="4">
        <f t="shared" si="20"/>
        <v>9.6248016104818688E+19</v>
      </c>
      <c r="G367" s="4">
        <f t="shared" si="21"/>
        <v>9.6248031717829067E+19</v>
      </c>
      <c r="H367" s="4">
        <f>SalaryFTECount*SalaryPerFTE*(1+SalaryGrowth)^365</f>
        <v>346248689861.49872</v>
      </c>
      <c r="I367" s="4">
        <f>SimOpsY1*(1+SimOpsGrowth)^365</f>
        <v>4.7510763264810832E+16</v>
      </c>
      <c r="J367" s="4">
        <f>TrainDevY1*(1+TrainDevGrowth)^365</f>
        <v>2.3755381632405416E+16</v>
      </c>
      <c r="K367" s="4">
        <f>AdminY1*(1+AdminGrowth)^365</f>
        <v>34488222945427.988</v>
      </c>
      <c r="L367" s="4">
        <f t="shared" si="22"/>
        <v>7.1300979368851536E+16</v>
      </c>
      <c r="M367" s="4">
        <f t="shared" si="23"/>
        <v>9.6176730738460213E+19</v>
      </c>
    </row>
    <row r="368" spans="1:13" x14ac:dyDescent="0.2">
      <c r="A368" s="3">
        <f>StartYear+366</f>
        <v>2391</v>
      </c>
      <c r="B368" s="4">
        <f>FacultyFTE*HoursPerWeek*WeeksPerYear*RatePerHour*(1+PracticeGrowth)^366</f>
        <v>16393660893138.754</v>
      </c>
      <c r="C368" s="4">
        <f>StudentsY1*(1+StudentGrowth)^366*CreditsPerStudent*TuitionPerCredit</f>
        <v>102460380582117.22</v>
      </c>
      <c r="D368" s="4">
        <f>SimRevY1*(1+SimGrowth)^366</f>
        <v>7.0581806917236163E+19</v>
      </c>
      <c r="E368" s="4">
        <f>FacDevRevY1*(1+FacDevGrowth)^366</f>
        <v>3.5290903458618081E+19</v>
      </c>
      <c r="F368" s="4">
        <f t="shared" si="20"/>
        <v>1.0587281283623482E+20</v>
      </c>
      <c r="G368" s="4">
        <f t="shared" si="21"/>
        <v>1.0587282922989571E+20</v>
      </c>
      <c r="H368" s="4">
        <f>SalaryFTECount*SalaryPerFTE*(1+SalaryGrowth)^366</f>
        <v>360098637455.95874</v>
      </c>
      <c r="I368" s="4">
        <f>SimOpsY1*(1+SimOpsGrowth)^366</f>
        <v>5.1311624325995712E+16</v>
      </c>
      <c r="J368" s="4">
        <f>TrainDevY1*(1+TrainDevGrowth)^366</f>
        <v>2.5655812162997856E+16</v>
      </c>
      <c r="K368" s="4">
        <f>AdminY1*(1+AdminGrowth)^366</f>
        <v>36557516322153.672</v>
      </c>
      <c r="L368" s="4">
        <f t="shared" si="22"/>
        <v>7.7004354103953184E+16</v>
      </c>
      <c r="M368" s="4">
        <f t="shared" si="23"/>
        <v>1.0579582487579176E+20</v>
      </c>
    </row>
    <row r="369" spans="1:13" x14ac:dyDescent="0.2">
      <c r="A369" s="3">
        <f>StartYear+367</f>
        <v>2392</v>
      </c>
      <c r="B369" s="4">
        <f>FacultyFTE*HoursPerWeek*WeeksPerYear*RatePerHour*(1+PracticeGrowth)^367</f>
        <v>17213343937795.697</v>
      </c>
      <c r="C369" s="4">
        <f>StudentsY1*(1+StudentGrowth)^367*CreditsPerStudent*TuitionPerCredit</f>
        <v>107583399611223.12</v>
      </c>
      <c r="D369" s="4">
        <f>SimRevY1*(1+SimGrowth)^367</f>
        <v>7.7639987608959779E+19</v>
      </c>
      <c r="E369" s="4">
        <f>FacDevRevY1*(1+FacDevGrowth)^367</f>
        <v>3.8819993804479889E+19</v>
      </c>
      <c r="F369" s="4">
        <f t="shared" si="20"/>
        <v>1.1646008899683928E+20</v>
      </c>
      <c r="G369" s="4">
        <f t="shared" si="21"/>
        <v>1.1646010621018322E+20</v>
      </c>
      <c r="H369" s="4">
        <f>SalaryFTECount*SalaryPerFTE*(1+SalaryGrowth)^367</f>
        <v>374502582954.19708</v>
      </c>
      <c r="I369" s="4">
        <f>SimOpsY1*(1+SimOpsGrowth)^367</f>
        <v>5.5416554272075376E+16</v>
      </c>
      <c r="J369" s="4">
        <f>TrainDevY1*(1+TrainDevGrowth)^367</f>
        <v>2.7708277136037688E+16</v>
      </c>
      <c r="K369" s="4">
        <f>AdminY1*(1+AdminGrowth)^367</f>
        <v>38750967301482.898</v>
      </c>
      <c r="L369" s="4">
        <f t="shared" si="22"/>
        <v>8.3163956877997504E+16</v>
      </c>
      <c r="M369" s="4">
        <f t="shared" si="23"/>
        <v>1.1637694225330522E+20</v>
      </c>
    </row>
    <row r="370" spans="1:13" x14ac:dyDescent="0.2">
      <c r="A370" s="3">
        <f>StartYear+368</f>
        <v>2393</v>
      </c>
      <c r="B370" s="4">
        <f>FacultyFTE*HoursPerWeek*WeeksPerYear*RatePerHour*(1+PracticeGrowth)^368</f>
        <v>18074011134685.48</v>
      </c>
      <c r="C370" s="4">
        <f>StudentsY1*(1+StudentGrowth)^368*CreditsPerStudent*TuitionPerCredit</f>
        <v>112962569591784.27</v>
      </c>
      <c r="D370" s="4">
        <f>SimRevY1*(1+SimGrowth)^368</f>
        <v>8.540398636985575E+19</v>
      </c>
      <c r="E370" s="4">
        <f>FacDevRevY1*(1+FacDevGrowth)^368</f>
        <v>4.2701993184927875E+19</v>
      </c>
      <c r="F370" s="4">
        <f t="shared" si="20"/>
        <v>1.2810609251735321E+20</v>
      </c>
      <c r="G370" s="4">
        <f t="shared" si="21"/>
        <v>1.2810611059136435E+20</v>
      </c>
      <c r="H370" s="4">
        <f>SalaryFTECount*SalaryPerFTE*(1+SalaryGrowth)^368</f>
        <v>389482686272.36499</v>
      </c>
      <c r="I370" s="4">
        <f>SimOpsY1*(1+SimOpsGrowth)^368</f>
        <v>5.9849878613841408E+16</v>
      </c>
      <c r="J370" s="4">
        <f>TrainDevY1*(1+TrainDevGrowth)^368</f>
        <v>2.9924939306920704E+16</v>
      </c>
      <c r="K370" s="4">
        <f>AdminY1*(1+AdminGrowth)^368</f>
        <v>41076025339571.859</v>
      </c>
      <c r="L370" s="4">
        <f t="shared" si="22"/>
        <v>8.9816283428787952E+16</v>
      </c>
      <c r="M370" s="4">
        <f t="shared" si="23"/>
        <v>1.2801629430793557E+20</v>
      </c>
    </row>
    <row r="371" spans="1:13" x14ac:dyDescent="0.2">
      <c r="A371" s="3">
        <f>StartYear+369</f>
        <v>2394</v>
      </c>
      <c r="B371" s="4">
        <f>FacultyFTE*HoursPerWeek*WeeksPerYear*RatePerHour*(1+PracticeGrowth)^369</f>
        <v>18977711691419.758</v>
      </c>
      <c r="C371" s="4">
        <f>StudentsY1*(1+StudentGrowth)^369*CreditsPerStudent*TuitionPerCredit</f>
        <v>118610698071373.48</v>
      </c>
      <c r="D371" s="4">
        <f>SimRevY1*(1+SimGrowth)^369</f>
        <v>9.3944385006841332E+19</v>
      </c>
      <c r="E371" s="4">
        <f>FacDevRevY1*(1+FacDevGrowth)^369</f>
        <v>4.6972192503420666E+19</v>
      </c>
      <c r="F371" s="4">
        <f t="shared" si="20"/>
        <v>1.4091669612096007E+20</v>
      </c>
      <c r="G371" s="4">
        <f t="shared" si="21"/>
        <v>1.4091671509867176E+20</v>
      </c>
      <c r="H371" s="4">
        <f>SalaryFTECount*SalaryPerFTE*(1+SalaryGrowth)^369</f>
        <v>405061993723.25958</v>
      </c>
      <c r="I371" s="4">
        <f>SimOpsY1*(1+SimOpsGrowth)^369</f>
        <v>6.4637868902948712E+16</v>
      </c>
      <c r="J371" s="4">
        <f>TrainDevY1*(1+TrainDevGrowth)^369</f>
        <v>3.2318934451474356E+16</v>
      </c>
      <c r="K371" s="4">
        <f>AdminY1*(1+AdminGrowth)^369</f>
        <v>43540586859946.188</v>
      </c>
      <c r="L371" s="4">
        <f t="shared" si="22"/>
        <v>9.7000749003276736E+16</v>
      </c>
      <c r="M371" s="4">
        <f t="shared" si="23"/>
        <v>1.4081971434966848E+20</v>
      </c>
    </row>
    <row r="372" spans="1:13" x14ac:dyDescent="0.2">
      <c r="A372" s="3">
        <f>StartYear+370</f>
        <v>2395</v>
      </c>
      <c r="B372" s="4">
        <f>FacultyFTE*HoursPerWeek*WeeksPerYear*RatePerHour*(1+PracticeGrowth)^370</f>
        <v>19926597275990.746</v>
      </c>
      <c r="C372" s="4">
        <f>StudentsY1*(1+StudentGrowth)^370*CreditsPerStudent*TuitionPerCredit</f>
        <v>124541232974942.17</v>
      </c>
      <c r="D372" s="4">
        <f>SimRevY1*(1+SimGrowth)^370</f>
        <v>1.0333882350752547E+20</v>
      </c>
      <c r="E372" s="4">
        <f>FacDevRevY1*(1+FacDevGrowth)^370</f>
        <v>5.1669411753762734E+19</v>
      </c>
      <c r="F372" s="4">
        <f t="shared" si="20"/>
        <v>1.5500835980252119E+20</v>
      </c>
      <c r="G372" s="4">
        <f t="shared" si="21"/>
        <v>1.5500837972911846E+20</v>
      </c>
      <c r="H372" s="4">
        <f>SalaryFTECount*SalaryPerFTE*(1+SalaryGrowth)^370</f>
        <v>421264473472.19006</v>
      </c>
      <c r="I372" s="4">
        <f>SimOpsY1*(1+SimOpsGrowth)^370</f>
        <v>6.9808898415184632E+16</v>
      </c>
      <c r="J372" s="4">
        <f>TrainDevY1*(1+TrainDevGrowth)^370</f>
        <v>3.4904449207592316E+16</v>
      </c>
      <c r="K372" s="4">
        <f>AdminY1*(1+AdminGrowth)^370</f>
        <v>46153022071542.953</v>
      </c>
      <c r="L372" s="4">
        <f t="shared" si="22"/>
        <v>1.0475992190932195E+17</v>
      </c>
      <c r="M372" s="4">
        <f t="shared" si="23"/>
        <v>1.5490361980720913E+20</v>
      </c>
    </row>
    <row r="373" spans="1:13" x14ac:dyDescent="0.2">
      <c r="A373" s="3">
        <f>StartYear+371</f>
        <v>2396</v>
      </c>
      <c r="B373" s="4">
        <f>FacultyFTE*HoursPerWeek*WeeksPerYear*RatePerHour*(1+PracticeGrowth)^371</f>
        <v>20922927139790.281</v>
      </c>
      <c r="C373" s="4">
        <f>StudentsY1*(1+StudentGrowth)^371*CreditsPerStudent*TuitionPerCredit</f>
        <v>130768294623689.27</v>
      </c>
      <c r="D373" s="4">
        <f>SimRevY1*(1+SimGrowth)^371</f>
        <v>1.1367270585827803E+20</v>
      </c>
      <c r="E373" s="4">
        <f>FacDevRevY1*(1+FacDevGrowth)^371</f>
        <v>5.6836352929139016E+19</v>
      </c>
      <c r="F373" s="4">
        <f t="shared" si="20"/>
        <v>1.7050918955571167E+20</v>
      </c>
      <c r="G373" s="4">
        <f t="shared" si="21"/>
        <v>1.7050921047863883E+20</v>
      </c>
      <c r="H373" s="4">
        <f>SalaryFTECount*SalaryPerFTE*(1+SalaryGrowth)^371</f>
        <v>438115052411.07764</v>
      </c>
      <c r="I373" s="4">
        <f>SimOpsY1*(1+SimOpsGrowth)^371</f>
        <v>7.5393610288399408E+16</v>
      </c>
      <c r="J373" s="4">
        <f>TrainDevY1*(1+TrainDevGrowth)^371</f>
        <v>3.7696805144199704E+16</v>
      </c>
      <c r="K373" s="4">
        <f>AdminY1*(1+AdminGrowth)^371</f>
        <v>48922203395835.531</v>
      </c>
      <c r="L373" s="4">
        <f t="shared" si="22"/>
        <v>1.1313977575104736E+17</v>
      </c>
      <c r="M373" s="4">
        <f t="shared" si="23"/>
        <v>1.7039607070288776E+20</v>
      </c>
    </row>
    <row r="374" spans="1:13" x14ac:dyDescent="0.2">
      <c r="A374" s="3">
        <f>StartYear+372</f>
        <v>2397</v>
      </c>
      <c r="B374" s="4">
        <f>FacultyFTE*HoursPerWeek*WeeksPerYear*RatePerHour*(1+PracticeGrowth)^372</f>
        <v>21969073496779.797</v>
      </c>
      <c r="C374" s="4">
        <f>StudentsY1*(1+StudentGrowth)^372*CreditsPerStudent*TuitionPerCredit</f>
        <v>137306709354873.75</v>
      </c>
      <c r="D374" s="4">
        <f>SimRevY1*(1+SimGrowth)^372</f>
        <v>1.2503997644410585E+20</v>
      </c>
      <c r="E374" s="4">
        <f>FacDevRevY1*(1+FacDevGrowth)^372</f>
        <v>6.2519988222052925E+19</v>
      </c>
      <c r="F374" s="4">
        <f t="shared" si="20"/>
        <v>1.8756010197286814E+20</v>
      </c>
      <c r="G374" s="4">
        <f t="shared" si="21"/>
        <v>1.8756012394194164E+20</v>
      </c>
      <c r="H374" s="4">
        <f>SalaryFTECount*SalaryPerFTE*(1+SalaryGrowth)^372</f>
        <v>455639654507.52075</v>
      </c>
      <c r="I374" s="4">
        <f>SimOpsY1*(1+SimOpsGrowth)^372</f>
        <v>8.142509911147136E+16</v>
      </c>
      <c r="J374" s="4">
        <f>TrainDevY1*(1+TrainDevGrowth)^372</f>
        <v>4.071254955573568E+16</v>
      </c>
      <c r="K374" s="4">
        <f>AdminY1*(1+AdminGrowth)^372</f>
        <v>51857535599585.664</v>
      </c>
      <c r="L374" s="4">
        <f t="shared" si="22"/>
        <v>1.2218996184246114E+17</v>
      </c>
      <c r="M374" s="4">
        <f t="shared" si="23"/>
        <v>1.8743793398009918E+20</v>
      </c>
    </row>
    <row r="375" spans="1:13" x14ac:dyDescent="0.2">
      <c r="A375" s="3">
        <f>StartYear+373</f>
        <v>2398</v>
      </c>
      <c r="B375" s="4">
        <f>FacultyFTE*HoursPerWeek*WeeksPerYear*RatePerHour*(1+PracticeGrowth)^373</f>
        <v>23067527171618.781</v>
      </c>
      <c r="C375" s="4">
        <f>StudentsY1*(1+StudentGrowth)^373*CreditsPerStudent*TuitionPerCredit</f>
        <v>144172044822617.41</v>
      </c>
      <c r="D375" s="4">
        <f>SimRevY1*(1+SimGrowth)^373</f>
        <v>1.3754397408851642E+20</v>
      </c>
      <c r="E375" s="4">
        <f>FacDevRevY1*(1+FacDevGrowth)^373</f>
        <v>6.877198704425821E+19</v>
      </c>
      <c r="F375" s="4">
        <f t="shared" si="20"/>
        <v>2.0631610530481947E+20</v>
      </c>
      <c r="G375" s="4">
        <f t="shared" si="21"/>
        <v>2.0631612837234665E+20</v>
      </c>
      <c r="H375" s="4">
        <f>SalaryFTECount*SalaryPerFTE*(1+SalaryGrowth)^373</f>
        <v>473865240687.82166</v>
      </c>
      <c r="I375" s="4">
        <f>SimOpsY1*(1+SimOpsGrowth)^373</f>
        <v>8.7939107040389056E+16</v>
      </c>
      <c r="J375" s="4">
        <f>TrainDevY1*(1+TrainDevGrowth)^373</f>
        <v>4.3969553520194528E+16</v>
      </c>
      <c r="K375" s="4">
        <f>AdminY1*(1+AdminGrowth)^373</f>
        <v>54968987735560.82</v>
      </c>
      <c r="L375" s="4">
        <f t="shared" si="22"/>
        <v>1.3196410341355984E+17</v>
      </c>
      <c r="M375" s="4">
        <f t="shared" si="23"/>
        <v>2.0618416426893309E+20</v>
      </c>
    </row>
    <row r="376" spans="1:13" x14ac:dyDescent="0.2">
      <c r="A376" s="3">
        <f>StartYear+374</f>
        <v>2399</v>
      </c>
      <c r="B376" s="4">
        <f>FacultyFTE*HoursPerWeek*WeeksPerYear*RatePerHour*(1+PracticeGrowth)^374</f>
        <v>24220903530199.723</v>
      </c>
      <c r="C376" s="4">
        <f>StudentsY1*(1+StudentGrowth)^374*CreditsPerStudent*TuitionPerCredit</f>
        <v>151380647063748.28</v>
      </c>
      <c r="D376" s="4">
        <f>SimRevY1*(1+SimGrowth)^374</f>
        <v>1.5129837149736809E+20</v>
      </c>
      <c r="E376" s="4">
        <f>FacDevRevY1*(1+FacDevGrowth)^374</f>
        <v>7.5649185748684046E+19</v>
      </c>
      <c r="F376" s="4">
        <f t="shared" si="20"/>
        <v>2.2694770862669919E+20</v>
      </c>
      <c r="G376" s="4">
        <f t="shared" si="21"/>
        <v>2.2694773284760273E+20</v>
      </c>
      <c r="H376" s="4">
        <f>SalaryFTECount*SalaryPerFTE*(1+SalaryGrowth)^374</f>
        <v>492819850315.33453</v>
      </c>
      <c r="I376" s="4">
        <f>SimOpsY1*(1+SimOpsGrowth)^374</f>
        <v>9.4974235603620192E+16</v>
      </c>
      <c r="J376" s="4">
        <f>TrainDevY1*(1+TrainDevGrowth)^374</f>
        <v>4.7487117801810096E+16</v>
      </c>
      <c r="K376" s="4">
        <f>AdminY1*(1+AdminGrowth)^374</f>
        <v>58267126999694.469</v>
      </c>
      <c r="L376" s="4">
        <f t="shared" si="22"/>
        <v>1.425201133522803E+17</v>
      </c>
      <c r="M376" s="4">
        <f t="shared" si="23"/>
        <v>2.2680521273425045E+20</v>
      </c>
    </row>
    <row r="377" spans="1:13" x14ac:dyDescent="0.2">
      <c r="A377" s="3">
        <f>StartYear+375</f>
        <v>2400</v>
      </c>
      <c r="B377" s="4">
        <f>FacultyFTE*HoursPerWeek*WeeksPerYear*RatePerHour*(1+PracticeGrowth)^375</f>
        <v>25431948706709.711</v>
      </c>
      <c r="C377" s="4">
        <f>StudentsY1*(1+StudentGrowth)^375*CreditsPerStudent*TuitionPerCredit</f>
        <v>158949679416935.72</v>
      </c>
      <c r="D377" s="4">
        <f>SimRevY1*(1+SimGrowth)^375</f>
        <v>1.6642820864710492E+20</v>
      </c>
      <c r="E377" s="4">
        <f>FacDevRevY1*(1+FacDevGrowth)^375</f>
        <v>8.3214104323552461E+19</v>
      </c>
      <c r="F377" s="4">
        <f t="shared" si="20"/>
        <v>2.4964247192033683E+20</v>
      </c>
      <c r="G377" s="4">
        <f t="shared" si="21"/>
        <v>2.4964249735228555E+20</v>
      </c>
      <c r="H377" s="4">
        <f>SalaryFTECount*SalaryPerFTE*(1+SalaryGrowth)^375</f>
        <v>512532644327.94781</v>
      </c>
      <c r="I377" s="4">
        <f>SimOpsY1*(1+SimOpsGrowth)^375</f>
        <v>1.0257217445190981E+17</v>
      </c>
      <c r="J377" s="4">
        <f>TrainDevY1*(1+TrainDevGrowth)^375</f>
        <v>5.1286087225954904E+16</v>
      </c>
      <c r="K377" s="4">
        <f>AdminY1*(1+AdminGrowth)^375</f>
        <v>61763154619676.133</v>
      </c>
      <c r="L377" s="4">
        <f t="shared" si="22"/>
        <v>1.539205373651287E+17</v>
      </c>
      <c r="M377" s="4">
        <f t="shared" si="23"/>
        <v>2.4948857681492043E+20</v>
      </c>
    </row>
    <row r="378" spans="1:13" x14ac:dyDescent="0.2">
      <c r="A378" s="3">
        <f>StartYear+376</f>
        <v>2401</v>
      </c>
      <c r="B378" s="4">
        <f>FacultyFTE*HoursPerWeek*WeeksPerYear*RatePerHour*(1+PracticeGrowth)^376</f>
        <v>26703546142045.195</v>
      </c>
      <c r="C378" s="4">
        <f>StudentsY1*(1+StudentGrowth)^376*CreditsPerStudent*TuitionPerCredit</f>
        <v>166897163387782.47</v>
      </c>
      <c r="D378" s="4">
        <f>SimRevY1*(1+SimGrowth)^376</f>
        <v>1.8307102951181536E+20</v>
      </c>
      <c r="E378" s="4">
        <f>FacDevRevY1*(1+FacDevGrowth)^376</f>
        <v>9.1535514755907682E+19</v>
      </c>
      <c r="F378" s="4">
        <f t="shared" si="20"/>
        <v>2.7460671116488645E+20</v>
      </c>
      <c r="G378" s="4">
        <f t="shared" si="21"/>
        <v>2.7460673786843261E+20</v>
      </c>
      <c r="H378" s="4">
        <f>SalaryFTECount*SalaryPerFTE*(1+SalaryGrowth)^376</f>
        <v>533033950101.0658</v>
      </c>
      <c r="I378" s="4">
        <f>SimOpsY1*(1+SimOpsGrowth)^376</f>
        <v>1.1077794840806262E+17</v>
      </c>
      <c r="J378" s="4">
        <f>TrainDevY1*(1+TrainDevGrowth)^376</f>
        <v>5.5388974204031312E+16</v>
      </c>
      <c r="K378" s="4">
        <f>AdminY1*(1+AdminGrowth)^376</f>
        <v>65468943896856.695</v>
      </c>
      <c r="L378" s="4">
        <f t="shared" si="22"/>
        <v>1.662329245899409E+17</v>
      </c>
      <c r="M378" s="4">
        <f t="shared" si="23"/>
        <v>2.7444050494384266E+20</v>
      </c>
    </row>
    <row r="379" spans="1:13" x14ac:dyDescent="0.2">
      <c r="A379" s="3">
        <f>StartYear+377</f>
        <v>2402</v>
      </c>
      <c r="B379" s="4">
        <f>FacultyFTE*HoursPerWeek*WeeksPerYear*RatePerHour*(1+PracticeGrowth)^377</f>
        <v>28038723449147.457</v>
      </c>
      <c r="C379" s="4">
        <f>StudentsY1*(1+StudentGrowth)^377*CreditsPerStudent*TuitionPerCredit</f>
        <v>175242021557171.59</v>
      </c>
      <c r="D379" s="4">
        <f>SimRevY1*(1+SimGrowth)^377</f>
        <v>2.0137813246299698E+20</v>
      </c>
      <c r="E379" s="4">
        <f>FacDevRevY1*(1+FacDevGrowth)^377</f>
        <v>1.0068906623149849E+20</v>
      </c>
      <c r="F379" s="4">
        <f t="shared" si="20"/>
        <v>3.0206737393651705E+20</v>
      </c>
      <c r="G379" s="4">
        <f t="shared" si="21"/>
        <v>3.0206740197524052E+20</v>
      </c>
      <c r="H379" s="4">
        <f>SalaryFTECount*SalaryPerFTE*(1+SalaryGrowth)^377</f>
        <v>554355308105.10864</v>
      </c>
      <c r="I379" s="4">
        <f>SimOpsY1*(1+SimOpsGrowth)^377</f>
        <v>1.1964018428070763E+17</v>
      </c>
      <c r="J379" s="4">
        <f>TrainDevY1*(1+TrainDevGrowth)^377</f>
        <v>5.9820092140353816E+16</v>
      </c>
      <c r="K379" s="4">
        <f>AdminY1*(1+AdminGrowth)^377</f>
        <v>69397080530668.109</v>
      </c>
      <c r="L379" s="4">
        <f t="shared" si="22"/>
        <v>1.7953022785690022E+17</v>
      </c>
      <c r="M379" s="4">
        <f t="shared" si="23"/>
        <v>3.0188787174738362E+20</v>
      </c>
    </row>
    <row r="380" spans="1:13" x14ac:dyDescent="0.2">
      <c r="A380" s="3">
        <f>StartYear+378</f>
        <v>2403</v>
      </c>
      <c r="B380" s="4">
        <f>FacultyFTE*HoursPerWeek*WeeksPerYear*RatePerHour*(1+PracticeGrowth)^378</f>
        <v>29440659621604.832</v>
      </c>
      <c r="C380" s="4">
        <f>StudentsY1*(1+StudentGrowth)^378*CreditsPerStudent*TuitionPerCredit</f>
        <v>184004122635030.22</v>
      </c>
      <c r="D380" s="4">
        <f>SimRevY1*(1+SimGrowth)^378</f>
        <v>2.2151594570929668E+20</v>
      </c>
      <c r="E380" s="4">
        <f>FacDevRevY1*(1+FacDevGrowth)^378</f>
        <v>1.1075797285464834E+20</v>
      </c>
      <c r="F380" s="4">
        <f t="shared" si="20"/>
        <v>3.3227410256806766E+20</v>
      </c>
      <c r="G380" s="4">
        <f t="shared" si="21"/>
        <v>3.3227413200872728E+20</v>
      </c>
      <c r="H380" s="4">
        <f>SalaryFTECount*SalaryPerFTE*(1+SalaryGrowth)^378</f>
        <v>576529520429.31274</v>
      </c>
      <c r="I380" s="4">
        <f>SimOpsY1*(1+SimOpsGrowth)^378</f>
        <v>1.2921139902316424E+17</v>
      </c>
      <c r="J380" s="4">
        <f>TrainDevY1*(1+TrainDevGrowth)^378</f>
        <v>6.460569951158212E+16</v>
      </c>
      <c r="K380" s="4">
        <f>AdminY1*(1+AdminGrowth)^378</f>
        <v>73560905362508.188</v>
      </c>
      <c r="L380" s="4">
        <f t="shared" si="22"/>
        <v>1.9389123596962928E+17</v>
      </c>
      <c r="M380" s="4">
        <f t="shared" si="23"/>
        <v>3.3208024077275765E+20</v>
      </c>
    </row>
    <row r="381" spans="1:13" x14ac:dyDescent="0.2">
      <c r="A381" s="3">
        <f>StartYear+379</f>
        <v>2404</v>
      </c>
      <c r="B381" s="4">
        <f>FacultyFTE*HoursPerWeek*WeeksPerYear*RatePerHour*(1+PracticeGrowth)^379</f>
        <v>30912692602685.078</v>
      </c>
      <c r="C381" s="4">
        <f>StudentsY1*(1+StudentGrowth)^379*CreditsPerStudent*TuitionPerCredit</f>
        <v>193204328766781.72</v>
      </c>
      <c r="D381" s="4">
        <f>SimRevY1*(1+SimGrowth)^379</f>
        <v>2.4366754028022641E+20</v>
      </c>
      <c r="E381" s="4">
        <f>FacDevRevY1*(1+FacDevGrowth)^379</f>
        <v>1.2183377014011321E+20</v>
      </c>
      <c r="F381" s="4">
        <f t="shared" si="20"/>
        <v>3.6550150362466838E+20</v>
      </c>
      <c r="G381" s="4">
        <f t="shared" si="21"/>
        <v>3.65501534537361E+20</v>
      </c>
      <c r="H381" s="4">
        <f>SalaryFTECount*SalaryPerFTE*(1+SalaryGrowth)^379</f>
        <v>599590701246.48535</v>
      </c>
      <c r="I381" s="4">
        <f>SimOpsY1*(1+SimOpsGrowth)^379</f>
        <v>1.3954831094501736E+17</v>
      </c>
      <c r="J381" s="4">
        <f>TrainDevY1*(1+TrainDevGrowth)^379</f>
        <v>6.977415547250868E+16</v>
      </c>
      <c r="K381" s="4">
        <f>AdminY1*(1+AdminGrowth)^379</f>
        <v>77974559684258.703</v>
      </c>
      <c r="L381" s="4">
        <f t="shared" si="22"/>
        <v>2.0940104056791155E+17</v>
      </c>
      <c r="M381" s="4">
        <f t="shared" si="23"/>
        <v>3.6529213349679307E+20</v>
      </c>
    </row>
    <row r="382" spans="1:13" x14ac:dyDescent="0.2">
      <c r="A382" s="3">
        <f>StartYear+380</f>
        <v>2405</v>
      </c>
      <c r="B382" s="4">
        <f>FacultyFTE*HoursPerWeek*WeeksPerYear*RatePerHour*(1+PracticeGrowth)^380</f>
        <v>32458327232819.324</v>
      </c>
      <c r="C382" s="4">
        <f>StudentsY1*(1+StudentGrowth)^380*CreditsPerStudent*TuitionPerCredit</f>
        <v>202864545205120.78</v>
      </c>
      <c r="D382" s="4">
        <f>SimRevY1*(1+SimGrowth)^380</f>
        <v>2.6803429430824894E+20</v>
      </c>
      <c r="E382" s="4">
        <f>FacDevRevY1*(1+FacDevGrowth)^380</f>
        <v>1.3401714715412447E+20</v>
      </c>
      <c r="F382" s="4">
        <f t="shared" si="20"/>
        <v>4.0205164432691862E+20</v>
      </c>
      <c r="G382" s="4">
        <f t="shared" si="21"/>
        <v>4.0205167678524588E+20</v>
      </c>
      <c r="H382" s="4">
        <f>SalaryFTECount*SalaryPerFTE*(1+SalaryGrowth)^380</f>
        <v>623574329296.34497</v>
      </c>
      <c r="I382" s="4">
        <f>SimOpsY1*(1+SimOpsGrowth)^380</f>
        <v>1.5071217582061878E+17</v>
      </c>
      <c r="J382" s="4">
        <f>TrainDevY1*(1+TrainDevGrowth)^380</f>
        <v>7.5356087910309392E+16</v>
      </c>
      <c r="K382" s="4">
        <f>AdminY1*(1+AdminGrowth)^380</f>
        <v>82653033265314.203</v>
      </c>
      <c r="L382" s="4">
        <f t="shared" si="22"/>
        <v>2.2615154033852278E+17</v>
      </c>
      <c r="M382" s="4">
        <f t="shared" si="23"/>
        <v>4.0182552524490736E+20</v>
      </c>
    </row>
    <row r="383" spans="1:13" x14ac:dyDescent="0.2">
      <c r="A383" s="3">
        <f>StartYear+381</f>
        <v>2406</v>
      </c>
      <c r="B383" s="4">
        <f>FacultyFTE*HoursPerWeek*WeeksPerYear*RatePerHour*(1+PracticeGrowth)^381</f>
        <v>34081243594460.297</v>
      </c>
      <c r="C383" s="4">
        <f>StudentsY1*(1+StudentGrowth)^381*CreditsPerStudent*TuitionPerCredit</f>
        <v>213007772465376.81</v>
      </c>
      <c r="D383" s="4">
        <f>SimRevY1*(1+SimGrowth)^381</f>
        <v>2.9483772373907394E+20</v>
      </c>
      <c r="E383" s="4">
        <f>FacDevRevY1*(1+FacDevGrowth)^381</f>
        <v>1.4741886186953697E+20</v>
      </c>
      <c r="F383" s="4">
        <f t="shared" si="20"/>
        <v>4.4225679861638339E+20</v>
      </c>
      <c r="G383" s="4">
        <f t="shared" si="21"/>
        <v>4.4225683269762698E+20</v>
      </c>
      <c r="H383" s="4">
        <f>SalaryFTECount*SalaryPerFTE*(1+SalaryGrowth)^381</f>
        <v>648517302468.19873</v>
      </c>
      <c r="I383" s="4">
        <f>SimOpsY1*(1+SimOpsGrowth)^381</f>
        <v>1.6276914988626829E+17</v>
      </c>
      <c r="J383" s="4">
        <f>TrainDevY1*(1+TrainDevGrowth)^381</f>
        <v>8.1384574943134144E+16</v>
      </c>
      <c r="K383" s="4">
        <f>AdminY1*(1+AdminGrowth)^381</f>
        <v>87612215261233.094</v>
      </c>
      <c r="L383" s="4">
        <f t="shared" si="22"/>
        <v>2.4424198556196614E+17</v>
      </c>
      <c r="M383" s="4">
        <f t="shared" si="23"/>
        <v>4.4201259071206503E+20</v>
      </c>
    </row>
    <row r="384" spans="1:13" x14ac:dyDescent="0.2">
      <c r="A384" s="3">
        <f>StartYear+382</f>
        <v>2407</v>
      </c>
      <c r="B384" s="4">
        <f>FacultyFTE*HoursPerWeek*WeeksPerYear*RatePerHour*(1+PracticeGrowth)^382</f>
        <v>35785305774183.297</v>
      </c>
      <c r="C384" s="4">
        <f>StudentsY1*(1+StudentGrowth)^382*CreditsPerStudent*TuitionPerCredit</f>
        <v>223658161088645.59</v>
      </c>
      <c r="D384" s="4">
        <f>SimRevY1*(1+SimGrowth)^382</f>
        <v>3.2432149611298141E+20</v>
      </c>
      <c r="E384" s="4">
        <f>FacDevRevY1*(1+FacDevGrowth)^382</f>
        <v>1.621607480564907E+20</v>
      </c>
      <c r="F384" s="4">
        <f t="shared" si="20"/>
        <v>4.8648246782763323E+20</v>
      </c>
      <c r="G384" s="4">
        <f t="shared" si="21"/>
        <v>4.8648250361293898E+20</v>
      </c>
      <c r="H384" s="4">
        <f>SalaryFTECount*SalaryPerFTE*(1+SalaryGrowth)^382</f>
        <v>674457994566.92664</v>
      </c>
      <c r="I384" s="4">
        <f>SimOpsY1*(1+SimOpsGrowth)^382</f>
        <v>1.7579068187716976E+17</v>
      </c>
      <c r="J384" s="4">
        <f>TrainDevY1*(1+TrainDevGrowth)^382</f>
        <v>8.789534093858488E+16</v>
      </c>
      <c r="K384" s="4">
        <f>AdminY1*(1+AdminGrowth)^382</f>
        <v>92868948176907.062</v>
      </c>
      <c r="L384" s="4">
        <f t="shared" si="22"/>
        <v>2.6377956622192608E+17</v>
      </c>
      <c r="M384" s="4">
        <f t="shared" si="23"/>
        <v>4.8621872404671706E+20</v>
      </c>
    </row>
    <row r="385" spans="1:13" x14ac:dyDescent="0.2">
      <c r="A385" s="3">
        <f>StartYear+383</f>
        <v>2408</v>
      </c>
      <c r="B385" s="4">
        <f>FacultyFTE*HoursPerWeek*WeeksPerYear*RatePerHour*(1+PracticeGrowth)^383</f>
        <v>37574571062892.477</v>
      </c>
      <c r="C385" s="4">
        <f>StudentsY1*(1+StudentGrowth)^383*CreditsPerStudent*TuitionPerCredit</f>
        <v>234841069143077.97</v>
      </c>
      <c r="D385" s="4">
        <f>SimRevY1*(1+SimGrowth)^383</f>
        <v>3.567536457242795E+20</v>
      </c>
      <c r="E385" s="4">
        <f>FacDevRevY1*(1+FacDevGrowth)^383</f>
        <v>1.7837682286213975E+20</v>
      </c>
      <c r="F385" s="4">
        <f t="shared" si="20"/>
        <v>5.3513070342748838E+20</v>
      </c>
      <c r="G385" s="4">
        <f t="shared" si="21"/>
        <v>5.3513074100205945E+20</v>
      </c>
      <c r="H385" s="4">
        <f>SalaryFTECount*SalaryPerFTE*(1+SalaryGrowth)^383</f>
        <v>701436314349.60364</v>
      </c>
      <c r="I385" s="4">
        <f>SimOpsY1*(1+SimOpsGrowth)^383</f>
        <v>1.8985393642734339E+17</v>
      </c>
      <c r="J385" s="4">
        <f>TrainDevY1*(1+TrainDevGrowth)^383</f>
        <v>9.4926968213671696E+16</v>
      </c>
      <c r="K385" s="4">
        <f>AdminY1*(1+AdminGrowth)^383</f>
        <v>98441085067521.516</v>
      </c>
      <c r="L385" s="4">
        <f t="shared" si="22"/>
        <v>2.8488004716239693E+17</v>
      </c>
      <c r="M385" s="4">
        <f t="shared" si="23"/>
        <v>5.3484586095489706E+20</v>
      </c>
    </row>
    <row r="386" spans="1:13" x14ac:dyDescent="0.2">
      <c r="A386" s="3">
        <f>StartYear+384</f>
        <v>2409</v>
      </c>
      <c r="B386" s="4">
        <f>FacultyFTE*HoursPerWeek*WeeksPerYear*RatePerHour*(1+PracticeGrowth)^384</f>
        <v>39453299616037.102</v>
      </c>
      <c r="C386" s="4">
        <f>StudentsY1*(1+StudentGrowth)^384*CreditsPerStudent*TuitionPerCredit</f>
        <v>246583122600231.88</v>
      </c>
      <c r="D386" s="4">
        <f>SimRevY1*(1+SimGrowth)^384</f>
        <v>3.9242901029670748E+20</v>
      </c>
      <c r="E386" s="4">
        <f>FacDevRevY1*(1+FacDevGrowth)^384</f>
        <v>1.9621450514835374E+20</v>
      </c>
      <c r="F386" s="4">
        <f t="shared" ref="F386:F449" si="24">C386+D386+E386</f>
        <v>5.8864376202818381E+20</v>
      </c>
      <c r="G386" s="4">
        <f t="shared" ref="G386:G449" si="25">B386+F386</f>
        <v>5.8864380148148345E+20</v>
      </c>
      <c r="H386" s="4">
        <f>SalaryFTECount*SalaryPerFTE*(1+SalaryGrowth)^384</f>
        <v>729493766923.58801</v>
      </c>
      <c r="I386" s="4">
        <f>SimOpsY1*(1+SimOpsGrowth)^384</f>
        <v>2.0504225134153088E+17</v>
      </c>
      <c r="J386" s="4">
        <f>TrainDevY1*(1+TrainDevGrowth)^384</f>
        <v>1.0252112567076544E+17</v>
      </c>
      <c r="K386" s="4">
        <f>AdminY1*(1+AdminGrowth)^384</f>
        <v>104347550171572.78</v>
      </c>
      <c r="L386" s="4">
        <f t="shared" ref="L386:L449" si="26">SUM(H386:K386)</f>
        <v>3.0766845405623482E+17</v>
      </c>
      <c r="M386" s="4">
        <f t="shared" ref="M386:M449" si="27">G386-L386</f>
        <v>5.8833613302742719E+20</v>
      </c>
    </row>
    <row r="387" spans="1:13" x14ac:dyDescent="0.2">
      <c r="A387" s="3">
        <f>StartYear+385</f>
        <v>2410</v>
      </c>
      <c r="B387" s="4">
        <f>FacultyFTE*HoursPerWeek*WeeksPerYear*RatePerHour*(1+PracticeGrowth)^385</f>
        <v>41425964596838.953</v>
      </c>
      <c r="C387" s="4">
        <f>StudentsY1*(1+StudentGrowth)^385*CreditsPerStudent*TuitionPerCredit</f>
        <v>258912278730243.5</v>
      </c>
      <c r="D387" s="4">
        <f>SimRevY1*(1+SimGrowth)^385</f>
        <v>4.3167191132637823E+20</v>
      </c>
      <c r="E387" s="4">
        <f>FacDevRevY1*(1+FacDevGrowth)^385</f>
        <v>2.1583595566318911E+20</v>
      </c>
      <c r="F387" s="4">
        <f t="shared" si="24"/>
        <v>6.4750812590184609E+20</v>
      </c>
      <c r="G387" s="4">
        <f t="shared" si="25"/>
        <v>6.4750816732781072E+20</v>
      </c>
      <c r="H387" s="4">
        <f>SalaryFTECount*SalaryPerFTE*(1+SalaryGrowth)^385</f>
        <v>758673517600.53149</v>
      </c>
      <c r="I387" s="4">
        <f>SimOpsY1*(1+SimOpsGrowth)^385</f>
        <v>2.2144563144885334E+17</v>
      </c>
      <c r="J387" s="4">
        <f>TrainDevY1*(1+TrainDevGrowth)^385</f>
        <v>1.1072281572442667E+17</v>
      </c>
      <c r="K387" s="4">
        <f>AdminY1*(1+AdminGrowth)^385</f>
        <v>110608403181867.16</v>
      </c>
      <c r="L387" s="4">
        <f t="shared" si="26"/>
        <v>3.3227981424997952E+17</v>
      </c>
      <c r="M387" s="4">
        <f t="shared" si="27"/>
        <v>6.4717588751356068E+20</v>
      </c>
    </row>
    <row r="388" spans="1:13" x14ac:dyDescent="0.2">
      <c r="A388" s="3">
        <f>StartYear+386</f>
        <v>2411</v>
      </c>
      <c r="B388" s="4">
        <f>FacultyFTE*HoursPerWeek*WeeksPerYear*RatePerHour*(1+PracticeGrowth)^386</f>
        <v>43497262826680.898</v>
      </c>
      <c r="C388" s="4">
        <f>StudentsY1*(1+StudentGrowth)^386*CreditsPerStudent*TuitionPerCredit</f>
        <v>271857892666755.62</v>
      </c>
      <c r="D388" s="4">
        <f>SimRevY1*(1+SimGrowth)^386</f>
        <v>4.7483910245901612E+20</v>
      </c>
      <c r="E388" s="4">
        <f>FacDevRevY1*(1+FacDevGrowth)^386</f>
        <v>2.3741955122950806E+20</v>
      </c>
      <c r="F388" s="4">
        <f t="shared" si="24"/>
        <v>7.122589255464169E+20</v>
      </c>
      <c r="G388" s="4">
        <f t="shared" si="25"/>
        <v>7.1225896904367971E+20</v>
      </c>
      <c r="H388" s="4">
        <f>SalaryFTECount*SalaryPerFTE*(1+SalaryGrowth)^386</f>
        <v>789020458304.55286</v>
      </c>
      <c r="I388" s="4">
        <f>SimOpsY1*(1+SimOpsGrowth)^386</f>
        <v>2.3916128196476163E+17</v>
      </c>
      <c r="J388" s="4">
        <f>TrainDevY1*(1+TrainDevGrowth)^386</f>
        <v>1.1958064098238082E+17</v>
      </c>
      <c r="K388" s="4">
        <f>AdminY1*(1+AdminGrowth)^386</f>
        <v>117244907372779.2</v>
      </c>
      <c r="L388" s="4">
        <f t="shared" si="26"/>
        <v>3.5885995687497357E+17</v>
      </c>
      <c r="M388" s="4">
        <f t="shared" si="27"/>
        <v>7.1190010908680467E+20</v>
      </c>
    </row>
    <row r="389" spans="1:13" x14ac:dyDescent="0.2">
      <c r="A389" s="3">
        <f>StartYear+387</f>
        <v>2412</v>
      </c>
      <c r="B389" s="4">
        <f>FacultyFTE*HoursPerWeek*WeeksPerYear*RatePerHour*(1+PracticeGrowth)^387</f>
        <v>45672125968014.945</v>
      </c>
      <c r="C389" s="4">
        <f>StudentsY1*(1+StudentGrowth)^387*CreditsPerStudent*TuitionPerCredit</f>
        <v>285450787300093.44</v>
      </c>
      <c r="D389" s="4">
        <f>SimRevY1*(1+SimGrowth)^387</f>
        <v>5.2232301270491778E+20</v>
      </c>
      <c r="E389" s="4">
        <f>FacDevRevY1*(1+FacDevGrowth)^387</f>
        <v>2.6116150635245889E+20</v>
      </c>
      <c r="F389" s="4">
        <f t="shared" si="24"/>
        <v>7.8348480450816403E+20</v>
      </c>
      <c r="G389" s="4">
        <f t="shared" si="25"/>
        <v>7.8348485018028999E+20</v>
      </c>
      <c r="H389" s="4">
        <f>SalaryFTECount*SalaryPerFTE*(1+SalaryGrowth)^387</f>
        <v>820581276636.73499</v>
      </c>
      <c r="I389" s="4">
        <f>SimOpsY1*(1+SimOpsGrowth)^387</f>
        <v>2.5829418452194256E+17</v>
      </c>
      <c r="J389" s="4">
        <f>TrainDevY1*(1+TrainDevGrowth)^387</f>
        <v>1.2914709226097128E+17</v>
      </c>
      <c r="K389" s="4">
        <f>AdminY1*(1+AdminGrowth)^387</f>
        <v>124279601815145.97</v>
      </c>
      <c r="L389" s="4">
        <f t="shared" si="26"/>
        <v>3.8756637696600563E+17</v>
      </c>
      <c r="M389" s="4">
        <f t="shared" si="27"/>
        <v>7.8309728380332396E+20</v>
      </c>
    </row>
    <row r="390" spans="1:13" x14ac:dyDescent="0.2">
      <c r="A390" s="3">
        <f>StartYear+388</f>
        <v>2413</v>
      </c>
      <c r="B390" s="4">
        <f>FacultyFTE*HoursPerWeek*WeeksPerYear*RatePerHour*(1+PracticeGrowth)^388</f>
        <v>47955732266415.695</v>
      </c>
      <c r="C390" s="4">
        <f>StudentsY1*(1+StudentGrowth)^388*CreditsPerStudent*TuitionPerCredit</f>
        <v>299723326665098.12</v>
      </c>
      <c r="D390" s="4">
        <f>SimRevY1*(1+SimGrowth)^388</f>
        <v>5.7455531397540951E+20</v>
      </c>
      <c r="E390" s="4">
        <f>FacDevRevY1*(1+FacDevGrowth)^388</f>
        <v>2.8727765698770475E+20</v>
      </c>
      <c r="F390" s="4">
        <f t="shared" si="24"/>
        <v>8.6183327068644101E+20</v>
      </c>
      <c r="G390" s="4">
        <f t="shared" si="25"/>
        <v>8.6183331864217321E+20</v>
      </c>
      <c r="H390" s="4">
        <f>SalaryFTECount*SalaryPerFTE*(1+SalaryGrowth)^388</f>
        <v>853404527702.20435</v>
      </c>
      <c r="I390" s="4">
        <f>SimOpsY1*(1+SimOpsGrowth)^388</f>
        <v>2.7895771928369802E+17</v>
      </c>
      <c r="J390" s="4">
        <f>TrainDevY1*(1+TrainDevGrowth)^388</f>
        <v>1.3947885964184901E+17</v>
      </c>
      <c r="K390" s="4">
        <f>AdminY1*(1+AdminGrowth)^388</f>
        <v>131736377924054.7</v>
      </c>
      <c r="L390" s="4">
        <f t="shared" si="26"/>
        <v>4.1856916870799878E+17</v>
      </c>
      <c r="M390" s="4">
        <f t="shared" si="27"/>
        <v>8.6141474947346517E+20</v>
      </c>
    </row>
    <row r="391" spans="1:13" x14ac:dyDescent="0.2">
      <c r="A391" s="3">
        <f>StartYear+389</f>
        <v>2414</v>
      </c>
      <c r="B391" s="4">
        <f>FacultyFTE*HoursPerWeek*WeeksPerYear*RatePerHour*(1+PracticeGrowth)^389</f>
        <v>50353518879736.484</v>
      </c>
      <c r="C391" s="4">
        <f>StudentsY1*(1+StudentGrowth)^389*CreditsPerStudent*TuitionPerCredit</f>
        <v>314709492998353.06</v>
      </c>
      <c r="D391" s="4">
        <f>SimRevY1*(1+SimGrowth)^389</f>
        <v>6.3201084537295064E+20</v>
      </c>
      <c r="E391" s="4">
        <f>FacDevRevY1*(1+FacDevGrowth)^389</f>
        <v>3.1600542268647532E+20</v>
      </c>
      <c r="F391" s="4">
        <f t="shared" si="24"/>
        <v>9.4801658276891905E+20</v>
      </c>
      <c r="G391" s="4">
        <f t="shared" si="25"/>
        <v>9.4801663312243799E+20</v>
      </c>
      <c r="H391" s="4">
        <f>SalaryFTECount*SalaryPerFTE*(1+SalaryGrowth)^389</f>
        <v>887540708810.29272</v>
      </c>
      <c r="I391" s="4">
        <f>SimOpsY1*(1+SimOpsGrowth)^389</f>
        <v>3.0127433682639386E+17</v>
      </c>
      <c r="J391" s="4">
        <f>TrainDevY1*(1+TrainDevGrowth)^389</f>
        <v>1.5063716841319693E+17</v>
      </c>
      <c r="K391" s="4">
        <f>AdminY1*(1+AdminGrowth)^389</f>
        <v>139640560599498</v>
      </c>
      <c r="L391" s="4">
        <f t="shared" si="26"/>
        <v>4.5205203334089907E+17</v>
      </c>
      <c r="M391" s="4">
        <f t="shared" si="27"/>
        <v>9.4756458108909715E+20</v>
      </c>
    </row>
    <row r="392" spans="1:13" x14ac:dyDescent="0.2">
      <c r="A392" s="3">
        <f>StartYear+390</f>
        <v>2415</v>
      </c>
      <c r="B392" s="4">
        <f>FacultyFTE*HoursPerWeek*WeeksPerYear*RatePerHour*(1+PracticeGrowth)^390</f>
        <v>52871194823723.305</v>
      </c>
      <c r="C392" s="4">
        <f>StudentsY1*(1+StudentGrowth)^390*CreditsPerStudent*TuitionPerCredit</f>
        <v>330444967648270.69</v>
      </c>
      <c r="D392" s="4">
        <f>SimRevY1*(1+SimGrowth)^390</f>
        <v>6.9521192991024572E+20</v>
      </c>
      <c r="E392" s="4">
        <f>FacDevRevY1*(1+FacDevGrowth)^390</f>
        <v>3.4760596495512286E+20</v>
      </c>
      <c r="F392" s="4">
        <f t="shared" si="24"/>
        <v>1.0428182253103363E+21</v>
      </c>
      <c r="G392" s="4">
        <f t="shared" si="25"/>
        <v>1.0428182781815312E+21</v>
      </c>
      <c r="H392" s="4">
        <f>SalaryFTECount*SalaryPerFTE*(1+SalaryGrowth)^390</f>
        <v>923042337162.70447</v>
      </c>
      <c r="I392" s="4">
        <f>SimOpsY1*(1+SimOpsGrowth)^390</f>
        <v>3.2537628377250541E+17</v>
      </c>
      <c r="J392" s="4">
        <f>TrainDevY1*(1+TrainDevGrowth)^390</f>
        <v>1.626881418862527E+17</v>
      </c>
      <c r="K392" s="4">
        <f>AdminY1*(1+AdminGrowth)^390</f>
        <v>148018994235467.91</v>
      </c>
      <c r="L392" s="4">
        <f t="shared" si="26"/>
        <v>4.8821336769533075E+17</v>
      </c>
      <c r="M392" s="4">
        <f t="shared" si="27"/>
        <v>1.0423300648138358E+21</v>
      </c>
    </row>
    <row r="393" spans="1:13" x14ac:dyDescent="0.2">
      <c r="A393" s="3">
        <f>StartYear+391</f>
        <v>2416</v>
      </c>
      <c r="B393" s="4">
        <f>FacultyFTE*HoursPerWeek*WeeksPerYear*RatePerHour*(1+PracticeGrowth)^391</f>
        <v>55514754564909.477</v>
      </c>
      <c r="C393" s="4">
        <f>StudentsY1*(1+StudentGrowth)^391*CreditsPerStudent*TuitionPerCredit</f>
        <v>346967216030684.25</v>
      </c>
      <c r="D393" s="4">
        <f>SimRevY1*(1+SimGrowth)^391</f>
        <v>7.6473312290127046E+20</v>
      </c>
      <c r="E393" s="4">
        <f>FacDevRevY1*(1+FacDevGrowth)^391</f>
        <v>3.8236656145063523E+20</v>
      </c>
      <c r="F393" s="4">
        <f t="shared" si="24"/>
        <v>1.1471000313191219E+21</v>
      </c>
      <c r="G393" s="4">
        <f t="shared" si="25"/>
        <v>1.1471000868338764E+21</v>
      </c>
      <c r="H393" s="4">
        <f>SalaryFTECount*SalaryPerFTE*(1+SalaryGrowth)^391</f>
        <v>959964030649.2124</v>
      </c>
      <c r="I393" s="4">
        <f>SimOpsY1*(1+SimOpsGrowth)^391</f>
        <v>3.5140638647430586E+17</v>
      </c>
      <c r="J393" s="4">
        <f>TrainDevY1*(1+TrainDevGrowth)^391</f>
        <v>1.7570319323715293E+17</v>
      </c>
      <c r="K393" s="4">
        <f>AdminY1*(1+AdminGrowth)^391</f>
        <v>156900133889596</v>
      </c>
      <c r="L393" s="4">
        <f t="shared" si="26"/>
        <v>5.2726743980937901E+17</v>
      </c>
      <c r="M393" s="4">
        <f t="shared" si="27"/>
        <v>1.146572819394067E+21</v>
      </c>
    </row>
    <row r="394" spans="1:13" x14ac:dyDescent="0.2">
      <c r="A394" s="3">
        <f>StartYear+392</f>
        <v>2417</v>
      </c>
      <c r="B394" s="4">
        <f>FacultyFTE*HoursPerWeek*WeeksPerYear*RatePerHour*(1+PracticeGrowth)^392</f>
        <v>58290492293154.945</v>
      </c>
      <c r="C394" s="4">
        <f>StudentsY1*(1+StudentGrowth)^392*CreditsPerStudent*TuitionPerCredit</f>
        <v>364315576832218.38</v>
      </c>
      <c r="D394" s="4">
        <f>SimRevY1*(1+SimGrowth)^392</f>
        <v>8.4120643519139742E+20</v>
      </c>
      <c r="E394" s="4">
        <f>FacDevRevY1*(1+FacDevGrowth)^392</f>
        <v>4.2060321759569871E+20</v>
      </c>
      <c r="F394" s="4">
        <f t="shared" si="24"/>
        <v>1.261810017102673E+21</v>
      </c>
      <c r="G394" s="4">
        <f t="shared" si="25"/>
        <v>1.2618100753931654E+21</v>
      </c>
      <c r="H394" s="4">
        <f>SalaryFTECount*SalaryPerFTE*(1+SalaryGrowth)^392</f>
        <v>998362591875.18103</v>
      </c>
      <c r="I394" s="4">
        <f>SimOpsY1*(1+SimOpsGrowth)^392</f>
        <v>3.795188973922503E+17</v>
      </c>
      <c r="J394" s="4">
        <f>TrainDevY1*(1+TrainDevGrowth)^392</f>
        <v>1.8975944869612515E+17</v>
      </c>
      <c r="K394" s="4">
        <f>AdminY1*(1+AdminGrowth)^392</f>
        <v>166314141922971.72</v>
      </c>
      <c r="L394" s="4">
        <f t="shared" si="26"/>
        <v>5.6944565859289024E+17</v>
      </c>
      <c r="M394" s="4">
        <f t="shared" si="27"/>
        <v>1.2612406297345726E+21</v>
      </c>
    </row>
    <row r="395" spans="1:13" x14ac:dyDescent="0.2">
      <c r="A395" s="3">
        <f>StartYear+393</f>
        <v>2418</v>
      </c>
      <c r="B395" s="4">
        <f>FacultyFTE*HoursPerWeek*WeeksPerYear*RatePerHour*(1+PracticeGrowth)^393</f>
        <v>61205016907812.695</v>
      </c>
      <c r="C395" s="4">
        <f>StudentsY1*(1+StudentGrowth)^393*CreditsPerStudent*TuitionPerCredit</f>
        <v>382531355673829.31</v>
      </c>
      <c r="D395" s="4">
        <f>SimRevY1*(1+SimGrowth)^393</f>
        <v>9.2532707871053722E+20</v>
      </c>
      <c r="E395" s="4">
        <f>FacDevRevY1*(1+FacDevGrowth)^393</f>
        <v>4.6266353935526861E+20</v>
      </c>
      <c r="F395" s="4">
        <f t="shared" si="24"/>
        <v>1.3879910005971616E+21</v>
      </c>
      <c r="G395" s="4">
        <f t="shared" si="25"/>
        <v>1.3879910618021786E+21</v>
      </c>
      <c r="H395" s="4">
        <f>SalaryFTECount*SalaryPerFTE*(1+SalaryGrowth)^393</f>
        <v>1038297095550.1885</v>
      </c>
      <c r="I395" s="4">
        <f>SimOpsY1*(1+SimOpsGrowth)^393</f>
        <v>4.0988040918363034E+17</v>
      </c>
      <c r="J395" s="4">
        <f>TrainDevY1*(1+TrainDevGrowth)^393</f>
        <v>2.0494020459181517E+17</v>
      </c>
      <c r="K395" s="4">
        <f>AdminY1*(1+AdminGrowth)^393</f>
        <v>176292990438350.03</v>
      </c>
      <c r="L395" s="4">
        <f t="shared" si="26"/>
        <v>6.1499794506297946E+17</v>
      </c>
      <c r="M395" s="4">
        <f t="shared" si="27"/>
        <v>1.3873760638571155E+21</v>
      </c>
    </row>
    <row r="396" spans="1:13" x14ac:dyDescent="0.2">
      <c r="A396" s="3">
        <f>StartYear+394</f>
        <v>2419</v>
      </c>
      <c r="B396" s="4">
        <f>FacultyFTE*HoursPerWeek*WeeksPerYear*RatePerHour*(1+PracticeGrowth)^394</f>
        <v>64265267753203.336</v>
      </c>
      <c r="C396" s="4">
        <f>StudentsY1*(1+StudentGrowth)^394*CreditsPerStudent*TuitionPerCredit</f>
        <v>401657923457520.88</v>
      </c>
      <c r="D396" s="4">
        <f>SimRevY1*(1+SimGrowth)^394</f>
        <v>1.0178597865815911E+21</v>
      </c>
      <c r="E396" s="4">
        <f>FacDevRevY1*(1+FacDevGrowth)^394</f>
        <v>5.0892989329079553E+20</v>
      </c>
      <c r="F396" s="4">
        <f t="shared" si="24"/>
        <v>1.5267900815303102E+21</v>
      </c>
      <c r="G396" s="4">
        <f t="shared" si="25"/>
        <v>1.5267901457955779E+21</v>
      </c>
      <c r="H396" s="4">
        <f>SalaryFTECount*SalaryPerFTE*(1+SalaryGrowth)^394</f>
        <v>1079828979372.196</v>
      </c>
      <c r="I396" s="4">
        <f>SimOpsY1*(1+SimOpsGrowth)^394</f>
        <v>4.4267084191832083E+17</v>
      </c>
      <c r="J396" s="4">
        <f>TrainDevY1*(1+TrainDevGrowth)^394</f>
        <v>2.2133542095916042E+17</v>
      </c>
      <c r="K396" s="4">
        <f>AdminY1*(1+AdminGrowth)^394</f>
        <v>186870569864651.06</v>
      </c>
      <c r="L396" s="4">
        <f t="shared" si="26"/>
        <v>6.6419421327632538E+17</v>
      </c>
      <c r="M396" s="4">
        <f t="shared" si="27"/>
        <v>1.5261259515823016E+21</v>
      </c>
    </row>
    <row r="397" spans="1:13" x14ac:dyDescent="0.2">
      <c r="A397" s="3">
        <f>StartYear+395</f>
        <v>2420</v>
      </c>
      <c r="B397" s="4">
        <f>FacultyFTE*HoursPerWeek*WeeksPerYear*RatePerHour*(1+PracticeGrowth)^395</f>
        <v>67478531140863.492</v>
      </c>
      <c r="C397" s="4">
        <f>StudentsY1*(1+StudentGrowth)^395*CreditsPerStudent*TuitionPerCredit</f>
        <v>421740819630396.88</v>
      </c>
      <c r="D397" s="4">
        <f>SimRevY1*(1+SimGrowth)^395</f>
        <v>1.1196457652397503E+21</v>
      </c>
      <c r="E397" s="4">
        <f>FacDevRevY1*(1+FacDevGrowth)^395</f>
        <v>5.5982288261987513E+20</v>
      </c>
      <c r="F397" s="4">
        <f t="shared" si="24"/>
        <v>1.6794690696004449E+21</v>
      </c>
      <c r="G397" s="4">
        <f t="shared" si="25"/>
        <v>1.679469137078976E+21</v>
      </c>
      <c r="H397" s="4">
        <f>SalaryFTECount*SalaryPerFTE*(1+SalaryGrowth)^395</f>
        <v>1123022138547.0837</v>
      </c>
      <c r="I397" s="4">
        <f>SimOpsY1*(1+SimOpsGrowth)^395</f>
        <v>4.780845092717865E+17</v>
      </c>
      <c r="J397" s="4">
        <f>TrainDevY1*(1+TrainDevGrowth)^395</f>
        <v>2.3904225463589325E+17</v>
      </c>
      <c r="K397" s="4">
        <f>AdminY1*(1+AdminGrowth)^395</f>
        <v>198082804056530.16</v>
      </c>
      <c r="L397" s="4">
        <f t="shared" si="26"/>
        <v>7.1732596973387494E+17</v>
      </c>
      <c r="M397" s="4">
        <f t="shared" si="27"/>
        <v>1.678751811109242E+21</v>
      </c>
    </row>
    <row r="398" spans="1:13" x14ac:dyDescent="0.2">
      <c r="A398" s="3">
        <f>StartYear+396</f>
        <v>2421</v>
      </c>
      <c r="B398" s="4">
        <f>FacultyFTE*HoursPerWeek*WeeksPerYear*RatePerHour*(1+PracticeGrowth)^396</f>
        <v>70852457697906.672</v>
      </c>
      <c r="C398" s="4">
        <f>StudentsY1*(1+StudentGrowth)^396*CreditsPerStudent*TuitionPerCredit</f>
        <v>442827860611916.69</v>
      </c>
      <c r="D398" s="4">
        <f>SimRevY1*(1+SimGrowth)^396</f>
        <v>1.2316103417637251E+21</v>
      </c>
      <c r="E398" s="4">
        <f>FacDevRevY1*(1+FacDevGrowth)^396</f>
        <v>6.1580517088186257E+20</v>
      </c>
      <c r="F398" s="4">
        <f t="shared" si="24"/>
        <v>1.8474159554734483E+21</v>
      </c>
      <c r="G398" s="4">
        <f t="shared" si="25"/>
        <v>1.8474160263259061E+21</v>
      </c>
      <c r="H398" s="4">
        <f>SalaryFTECount*SalaryPerFTE*(1+SalaryGrowth)^396</f>
        <v>1167943024088.9673</v>
      </c>
      <c r="I398" s="4">
        <f>SimOpsY1*(1+SimOpsGrowth)^396</f>
        <v>5.1633127001352934E+17</v>
      </c>
      <c r="J398" s="4">
        <f>TrainDevY1*(1+TrainDevGrowth)^396</f>
        <v>2.5816563500676467E+17</v>
      </c>
      <c r="K398" s="4">
        <f>AdminY1*(1+AdminGrowth)^396</f>
        <v>209967772299921.94</v>
      </c>
      <c r="L398" s="4">
        <f t="shared" si="26"/>
        <v>7.7470804073561792E+17</v>
      </c>
      <c r="M398" s="4">
        <f t="shared" si="27"/>
        <v>1.8466413182851704E+21</v>
      </c>
    </row>
    <row r="399" spans="1:13" x14ac:dyDescent="0.2">
      <c r="A399" s="3">
        <f>StartYear+397</f>
        <v>2422</v>
      </c>
      <c r="B399" s="4">
        <f>FacultyFTE*HoursPerWeek*WeeksPerYear*RatePerHour*(1+PracticeGrowth)^397</f>
        <v>74395080582802.016</v>
      </c>
      <c r="C399" s="4">
        <f>StudentsY1*(1+StudentGrowth)^397*CreditsPerStudent*TuitionPerCredit</f>
        <v>464969253642512.56</v>
      </c>
      <c r="D399" s="4">
        <f>SimRevY1*(1+SimGrowth)^397</f>
        <v>1.3547713759400978E+21</v>
      </c>
      <c r="E399" s="4">
        <f>FacDevRevY1*(1+FacDevGrowth)^397</f>
        <v>6.773856879700489E+20</v>
      </c>
      <c r="F399" s="4">
        <f t="shared" si="24"/>
        <v>2.0321575288794002E+21</v>
      </c>
      <c r="G399" s="4">
        <f t="shared" si="25"/>
        <v>2.0321576032744807E+21</v>
      </c>
      <c r="H399" s="4">
        <f>SalaryFTECount*SalaryPerFTE*(1+SalaryGrowth)^397</f>
        <v>1214660745052.5261</v>
      </c>
      <c r="I399" s="4">
        <f>SimOpsY1*(1+SimOpsGrowth)^397</f>
        <v>5.5763777161461178E+17</v>
      </c>
      <c r="J399" s="4">
        <f>TrainDevY1*(1+TrainDevGrowth)^397</f>
        <v>2.7881888580730589E+17</v>
      </c>
      <c r="K399" s="4">
        <f>AdminY1*(1+AdminGrowth)^397</f>
        <v>222565838637917.28</v>
      </c>
      <c r="L399" s="4">
        <f t="shared" si="26"/>
        <v>8.3668043792130061E+17</v>
      </c>
      <c r="M399" s="4">
        <f t="shared" si="27"/>
        <v>2.0313209228365595E+21</v>
      </c>
    </row>
    <row r="400" spans="1:13" x14ac:dyDescent="0.2">
      <c r="A400" s="3">
        <f>StartYear+398</f>
        <v>2423</v>
      </c>
      <c r="B400" s="4">
        <f>FacultyFTE*HoursPerWeek*WeeksPerYear*RatePerHour*(1+PracticeGrowth)^398</f>
        <v>78114834611942.094</v>
      </c>
      <c r="C400" s="4">
        <f>StudentsY1*(1+StudentGrowth)^398*CreditsPerStudent*TuitionPerCredit</f>
        <v>488217716324638.12</v>
      </c>
      <c r="D400" s="4">
        <f>SimRevY1*(1+SimGrowth)^398</f>
        <v>1.4902485135341078E+21</v>
      </c>
      <c r="E400" s="4">
        <f>FacDevRevY1*(1+FacDevGrowth)^398</f>
        <v>7.4512425676705392E+20</v>
      </c>
      <c r="F400" s="4">
        <f t="shared" si="24"/>
        <v>2.235373258518878E+21</v>
      </c>
      <c r="G400" s="4">
        <f t="shared" si="25"/>
        <v>2.2353733366337126E+21</v>
      </c>
      <c r="H400" s="4">
        <f>SalaryFTECount*SalaryPerFTE*(1+SalaryGrowth)^398</f>
        <v>1263247174854.6272</v>
      </c>
      <c r="I400" s="4">
        <f>SimOpsY1*(1+SimOpsGrowth)^398</f>
        <v>6.0224879334378086E+17</v>
      </c>
      <c r="J400" s="4">
        <f>TrainDevY1*(1+TrainDevGrowth)^398</f>
        <v>3.0112439667189043E+17</v>
      </c>
      <c r="K400" s="4">
        <f>AdminY1*(1+AdminGrowth)^398</f>
        <v>235919788956192.38</v>
      </c>
      <c r="L400" s="4">
        <f t="shared" si="26"/>
        <v>9.0361037305180237E+17</v>
      </c>
      <c r="M400" s="4">
        <f t="shared" si="27"/>
        <v>2.2344697262606608E+21</v>
      </c>
    </row>
    <row r="401" spans="1:13" x14ac:dyDescent="0.2">
      <c r="A401" s="3">
        <f>StartYear+399</f>
        <v>2424</v>
      </c>
      <c r="B401" s="4">
        <f>FacultyFTE*HoursPerWeek*WeeksPerYear*RatePerHour*(1+PracticeGrowth)^399</f>
        <v>82020576342539.234</v>
      </c>
      <c r="C401" s="4">
        <f>StudentsY1*(1+StudentGrowth)^399*CreditsPerStudent*TuitionPerCredit</f>
        <v>512628602140870.19</v>
      </c>
      <c r="D401" s="4">
        <f>SimRevY1*(1+SimGrowth)^399</f>
        <v>1.6392733648875186E+21</v>
      </c>
      <c r="E401" s="4">
        <f>FacDevRevY1*(1+FacDevGrowth)^399</f>
        <v>8.1963668244375929E+20</v>
      </c>
      <c r="F401" s="4">
        <f t="shared" si="24"/>
        <v>2.45891055995988E+21</v>
      </c>
      <c r="G401" s="4">
        <f t="shared" si="25"/>
        <v>2.4589106419804563E+21</v>
      </c>
      <c r="H401" s="4">
        <f>SalaryFTECount*SalaryPerFTE*(1+SalaryGrowth)^399</f>
        <v>1313777061848.8123</v>
      </c>
      <c r="I401" s="4">
        <f>SimOpsY1*(1+SimOpsGrowth)^399</f>
        <v>6.5042869681128333E+17</v>
      </c>
      <c r="J401" s="4">
        <f>TrainDevY1*(1+TrainDevGrowth)^399</f>
        <v>3.2521434840564166E+17</v>
      </c>
      <c r="K401" s="4">
        <f>AdminY1*(1+AdminGrowth)^399</f>
        <v>250074976293563.97</v>
      </c>
      <c r="L401" s="4">
        <f t="shared" si="26"/>
        <v>9.7589443397028032E+17</v>
      </c>
      <c r="M401" s="4">
        <f t="shared" si="27"/>
        <v>2.4579347475464858E+21</v>
      </c>
    </row>
    <row r="402" spans="1:13" x14ac:dyDescent="0.2">
      <c r="A402" s="3">
        <f>StartYear+400</f>
        <v>2425</v>
      </c>
      <c r="B402" s="4">
        <f>FacultyFTE*HoursPerWeek*WeeksPerYear*RatePerHour*(1+PracticeGrowth)^400</f>
        <v>86121605159666.172</v>
      </c>
      <c r="C402" s="4">
        <f>StudentsY1*(1+StudentGrowth)^400*CreditsPerStudent*TuitionPerCredit</f>
        <v>538260032247913.56</v>
      </c>
      <c r="D402" s="4">
        <f>SimRevY1*(1+SimGrowth)^400</f>
        <v>1.8032007013762704E+21</v>
      </c>
      <c r="E402" s="4">
        <f>FacDevRevY1*(1+FacDevGrowth)^400</f>
        <v>9.0160035068813522E+20</v>
      </c>
      <c r="F402" s="4">
        <f t="shared" si="24"/>
        <v>2.7048015903244377E+21</v>
      </c>
      <c r="G402" s="4">
        <f t="shared" si="25"/>
        <v>2.7048016764460429E+21</v>
      </c>
      <c r="H402" s="4">
        <f>SalaryFTECount*SalaryPerFTE*(1+SalaryGrowth)^400</f>
        <v>1366328144322.7646</v>
      </c>
      <c r="I402" s="4">
        <f>SimOpsY1*(1+SimOpsGrowth)^400</f>
        <v>7.0246299255618598E+17</v>
      </c>
      <c r="J402" s="4">
        <f>TrainDevY1*(1+TrainDevGrowth)^400</f>
        <v>3.5123149627809299E+17</v>
      </c>
      <c r="K402" s="4">
        <f>AdminY1*(1+AdminGrowth)^400</f>
        <v>265079474871177.72</v>
      </c>
      <c r="L402" s="4">
        <f t="shared" si="26"/>
        <v>1.0539609346372945E+18</v>
      </c>
      <c r="M402" s="4">
        <f t="shared" si="27"/>
        <v>2.7037477155114058E+21</v>
      </c>
    </row>
    <row r="403" spans="1:13" x14ac:dyDescent="0.2">
      <c r="A403" s="3">
        <f>StartYear+401</f>
        <v>2426</v>
      </c>
      <c r="B403" s="4">
        <f>FacultyFTE*HoursPerWeek*WeeksPerYear*RatePerHour*(1+PracticeGrowth)^401</f>
        <v>90427685417649.5</v>
      </c>
      <c r="C403" s="4">
        <f>StudentsY1*(1+StudentGrowth)^401*CreditsPerStudent*TuitionPerCredit</f>
        <v>565173033860309.38</v>
      </c>
      <c r="D403" s="4">
        <f>SimRevY1*(1+SimGrowth)^401</f>
        <v>1.9835207715138977E+21</v>
      </c>
      <c r="E403" s="4">
        <f>FacDevRevY1*(1+FacDevGrowth)^401</f>
        <v>9.9176038575694886E+20</v>
      </c>
      <c r="F403" s="4">
        <f t="shared" si="24"/>
        <v>2.9752817224438807E+21</v>
      </c>
      <c r="G403" s="4">
        <f t="shared" si="25"/>
        <v>2.9752818128715661E+21</v>
      </c>
      <c r="H403" s="4">
        <f>SalaryFTECount*SalaryPerFTE*(1+SalaryGrowth)^401</f>
        <v>1420981270095.6755</v>
      </c>
      <c r="I403" s="4">
        <f>SimOpsY1*(1+SimOpsGrowth)^401</f>
        <v>7.5866003196068083E+17</v>
      </c>
      <c r="J403" s="4">
        <f>TrainDevY1*(1+TrainDevGrowth)^401</f>
        <v>3.7933001598034042E+17</v>
      </c>
      <c r="K403" s="4">
        <f>AdminY1*(1+AdminGrowth)^401</f>
        <v>280984243363448.41</v>
      </c>
      <c r="L403" s="4">
        <f t="shared" si="26"/>
        <v>1.1382724531656549E+18</v>
      </c>
      <c r="M403" s="4">
        <f t="shared" si="27"/>
        <v>2.9741435404184002E+21</v>
      </c>
    </row>
    <row r="404" spans="1:13" x14ac:dyDescent="0.2">
      <c r="A404" s="3">
        <f>StartYear+402</f>
        <v>2427</v>
      </c>
      <c r="B404" s="4">
        <f>FacultyFTE*HoursPerWeek*WeeksPerYear*RatePerHour*(1+PracticeGrowth)^402</f>
        <v>94949069688531.969</v>
      </c>
      <c r="C404" s="4">
        <f>StudentsY1*(1+StudentGrowth)^402*CreditsPerStudent*TuitionPerCredit</f>
        <v>593431685553324.75</v>
      </c>
      <c r="D404" s="4">
        <f>SimRevY1*(1+SimGrowth)^402</f>
        <v>2.1818728486652876E+21</v>
      </c>
      <c r="E404" s="4">
        <f>FacDevRevY1*(1+FacDevGrowth)^402</f>
        <v>1.0909364243326438E+21</v>
      </c>
      <c r="F404" s="4">
        <f t="shared" si="24"/>
        <v>3.2728098664296166E+21</v>
      </c>
      <c r="G404" s="4">
        <f t="shared" si="25"/>
        <v>3.2728099613786862E+21</v>
      </c>
      <c r="H404" s="4">
        <f>SalaryFTECount*SalaryPerFTE*(1+SalaryGrowth)^402</f>
        <v>1477820520899.5027</v>
      </c>
      <c r="I404" s="4">
        <f>SimOpsY1*(1+SimOpsGrowth)^402</f>
        <v>8.1935283451753536E+17</v>
      </c>
      <c r="J404" s="4">
        <f>TrainDevY1*(1+TrainDevGrowth)^402</f>
        <v>4.0967641725876768E+17</v>
      </c>
      <c r="K404" s="4">
        <f>AdminY1*(1+AdminGrowth)^402</f>
        <v>297843297965255.31</v>
      </c>
      <c r="L404" s="4">
        <f t="shared" si="26"/>
        <v>1.2293285728947894E+18</v>
      </c>
      <c r="M404" s="4">
        <f t="shared" si="27"/>
        <v>3.2715806328057915E+21</v>
      </c>
    </row>
    <row r="405" spans="1:13" x14ac:dyDescent="0.2">
      <c r="A405" s="3">
        <f>StartYear+403</f>
        <v>2428</v>
      </c>
      <c r="B405" s="4">
        <f>FacultyFTE*HoursPerWeek*WeeksPerYear*RatePerHour*(1+PracticeGrowth)^403</f>
        <v>99696523172958.578</v>
      </c>
      <c r="C405" s="4">
        <f>StudentsY1*(1+StudentGrowth)^403*CreditsPerStudent*TuitionPerCredit</f>
        <v>623103269830991</v>
      </c>
      <c r="D405" s="4">
        <f>SimRevY1*(1+SimGrowth)^403</f>
        <v>2.4000601335318168E+21</v>
      </c>
      <c r="E405" s="4">
        <f>FacDevRevY1*(1+FacDevGrowth)^403</f>
        <v>1.2000300667659084E+21</v>
      </c>
      <c r="F405" s="4">
        <f t="shared" si="24"/>
        <v>3.6000908234009954E+21</v>
      </c>
      <c r="G405" s="4">
        <f t="shared" si="25"/>
        <v>3.6000909230975185E+21</v>
      </c>
      <c r="H405" s="4">
        <f>SalaryFTECount*SalaryPerFTE*(1+SalaryGrowth)^403</f>
        <v>1536933341735.4829</v>
      </c>
      <c r="I405" s="4">
        <f>SimOpsY1*(1+SimOpsGrowth)^403</f>
        <v>8.8490106127893837E+17</v>
      </c>
      <c r="J405" s="4">
        <f>TrainDevY1*(1+TrainDevGrowth)^403</f>
        <v>4.4245053063946918E+17</v>
      </c>
      <c r="K405" s="4">
        <f>AdminY1*(1+AdminGrowth)^403</f>
        <v>315713895843170.69</v>
      </c>
      <c r="L405" s="4">
        <f t="shared" si="26"/>
        <v>1.3276688427475924E+18</v>
      </c>
      <c r="M405" s="4">
        <f t="shared" si="27"/>
        <v>3.5987632542547711E+21</v>
      </c>
    </row>
    <row r="406" spans="1:13" x14ac:dyDescent="0.2">
      <c r="A406" s="3">
        <f>StartYear+404</f>
        <v>2429</v>
      </c>
      <c r="B406" s="4">
        <f>FacultyFTE*HoursPerWeek*WeeksPerYear*RatePerHour*(1+PracticeGrowth)^404</f>
        <v>104681349331606.5</v>
      </c>
      <c r="C406" s="4">
        <f>StudentsY1*(1+StudentGrowth)^404*CreditsPerStudent*TuitionPerCredit</f>
        <v>654258433322540.62</v>
      </c>
      <c r="D406" s="4">
        <f>SimRevY1*(1+SimGrowth)^404</f>
        <v>2.6400661468849987E+21</v>
      </c>
      <c r="E406" s="4">
        <f>FacDevRevY1*(1+FacDevGrowth)^404</f>
        <v>1.3200330734424993E+21</v>
      </c>
      <c r="F406" s="4">
        <f t="shared" si="24"/>
        <v>3.9600998745859309E+21</v>
      </c>
      <c r="G406" s="4">
        <f t="shared" si="25"/>
        <v>3.9600999792672805E+21</v>
      </c>
      <c r="H406" s="4">
        <f>SalaryFTECount*SalaryPerFTE*(1+SalaryGrowth)^404</f>
        <v>1598410675404.9021</v>
      </c>
      <c r="I406" s="4">
        <f>SimOpsY1*(1+SimOpsGrowth)^404</f>
        <v>9.5569314618125338E+17</v>
      </c>
      <c r="J406" s="4">
        <f>TrainDevY1*(1+TrainDevGrowth)^404</f>
        <v>4.7784657309062669E+17</v>
      </c>
      <c r="K406" s="4">
        <f>AdminY1*(1+AdminGrowth)^404</f>
        <v>334656729593760.94</v>
      </c>
      <c r="L406" s="4">
        <f t="shared" si="26"/>
        <v>1.4338759744121492E+18</v>
      </c>
      <c r="M406" s="4">
        <f t="shared" si="27"/>
        <v>3.9586661032928682E+21</v>
      </c>
    </row>
    <row r="407" spans="1:13" x14ac:dyDescent="0.2">
      <c r="A407" s="3">
        <f>StartYear+405</f>
        <v>2430</v>
      </c>
      <c r="B407" s="4">
        <f>FacultyFTE*HoursPerWeek*WeeksPerYear*RatePerHour*(1+PracticeGrowth)^405</f>
        <v>109915416798186.83</v>
      </c>
      <c r="C407" s="4">
        <f>StudentsY1*(1+StudentGrowth)^405*CreditsPerStudent*TuitionPerCredit</f>
        <v>686971354988667.75</v>
      </c>
      <c r="D407" s="4">
        <f>SimRevY1*(1+SimGrowth)^405</f>
        <v>2.9040727615734982E+21</v>
      </c>
      <c r="E407" s="4">
        <f>FacDevRevY1*(1+FacDevGrowth)^405</f>
        <v>1.4520363807867491E+21</v>
      </c>
      <c r="F407" s="4">
        <f t="shared" si="24"/>
        <v>4.3561098293316021E+21</v>
      </c>
      <c r="G407" s="4">
        <f t="shared" si="25"/>
        <v>4.3561099392470189E+21</v>
      </c>
      <c r="H407" s="4">
        <f>SalaryFTECount*SalaryPerFTE*(1+SalaryGrowth)^405</f>
        <v>1662347102421.0986</v>
      </c>
      <c r="I407" s="4">
        <f>SimOpsY1*(1+SimOpsGrowth)^405</f>
        <v>1.0321485978757536E+18</v>
      </c>
      <c r="J407" s="4">
        <f>TrainDevY1*(1+TrainDevGrowth)^405</f>
        <v>5.160742989378768E+17</v>
      </c>
      <c r="K407" s="4">
        <f>AdminY1*(1+AdminGrowth)^405</f>
        <v>354736133369386.62</v>
      </c>
      <c r="L407" s="4">
        <f t="shared" si="26"/>
        <v>1.5485792952941023E+18</v>
      </c>
      <c r="M407" s="4">
        <f t="shared" si="27"/>
        <v>4.3545613599517248E+21</v>
      </c>
    </row>
    <row r="408" spans="1:13" x14ac:dyDescent="0.2">
      <c r="A408" s="3">
        <f>StartYear+406</f>
        <v>2431</v>
      </c>
      <c r="B408" s="4">
        <f>FacultyFTE*HoursPerWeek*WeeksPerYear*RatePerHour*(1+PracticeGrowth)^406</f>
        <v>115411187638096.14</v>
      </c>
      <c r="C408" s="4">
        <f>StudentsY1*(1+StudentGrowth)^406*CreditsPerStudent*TuitionPerCredit</f>
        <v>721319922738100.88</v>
      </c>
      <c r="D408" s="4">
        <f>SimRevY1*(1+SimGrowth)^406</f>
        <v>3.1944800377308489E+21</v>
      </c>
      <c r="E408" s="4">
        <f>FacDevRevY1*(1+FacDevGrowth)^406</f>
        <v>1.5972400188654244E+21</v>
      </c>
      <c r="F408" s="4">
        <f t="shared" si="24"/>
        <v>4.7917207779161953E+21</v>
      </c>
      <c r="G408" s="4">
        <f t="shared" si="25"/>
        <v>4.7917208933273824E+21</v>
      </c>
      <c r="H408" s="4">
        <f>SalaryFTECount*SalaryPerFTE*(1+SalaryGrowth)^406</f>
        <v>1728840986517.9424</v>
      </c>
      <c r="I408" s="4">
        <f>SimOpsY1*(1+SimOpsGrowth)^406</f>
        <v>1.1147204857058143E+18</v>
      </c>
      <c r="J408" s="4">
        <f>TrainDevY1*(1+TrainDevGrowth)^406</f>
        <v>5.5736024285290714E+17</v>
      </c>
      <c r="K408" s="4">
        <f>AdminY1*(1+AdminGrowth)^406</f>
        <v>376020301371549.81</v>
      </c>
      <c r="L408" s="4">
        <f t="shared" si="26"/>
        <v>1.6724584777010796E+18</v>
      </c>
      <c r="M408" s="4">
        <f t="shared" si="27"/>
        <v>4.7900484348496818E+21</v>
      </c>
    </row>
    <row r="409" spans="1:13" x14ac:dyDescent="0.2">
      <c r="A409" s="3">
        <f>StartYear+407</f>
        <v>2432</v>
      </c>
      <c r="B409" s="4">
        <f>FacultyFTE*HoursPerWeek*WeeksPerYear*RatePerHour*(1+PracticeGrowth)^407</f>
        <v>121181747020000.98</v>
      </c>
      <c r="C409" s="4">
        <f>StudentsY1*(1+StudentGrowth)^407*CreditsPerStudent*TuitionPerCredit</f>
        <v>757385918875006.25</v>
      </c>
      <c r="D409" s="4">
        <f>SimRevY1*(1+SimGrowth)^407</f>
        <v>3.5139280415039339E+21</v>
      </c>
      <c r="E409" s="4">
        <f>FacDevRevY1*(1+FacDevGrowth)^407</f>
        <v>1.7569640207519669E+21</v>
      </c>
      <c r="F409" s="4">
        <f t="shared" si="24"/>
        <v>5.2708928196418197E+21</v>
      </c>
      <c r="G409" s="4">
        <f t="shared" si="25"/>
        <v>5.270892940823567E+21</v>
      </c>
      <c r="H409" s="4">
        <f>SalaryFTECount*SalaryPerFTE*(1+SalaryGrowth)^407</f>
        <v>1797994625978.6599</v>
      </c>
      <c r="I409" s="4">
        <f>SimOpsY1*(1+SimOpsGrowth)^407</f>
        <v>1.2038981245622794E+18</v>
      </c>
      <c r="J409" s="4">
        <f>TrainDevY1*(1+TrainDevGrowth)^407</f>
        <v>6.0194906228113971E+17</v>
      </c>
      <c r="K409" s="4">
        <f>AdminY1*(1+AdminGrowth)^407</f>
        <v>398581519453842.94</v>
      </c>
      <c r="L409" s="4">
        <f t="shared" si="26"/>
        <v>1.8062475663574991E+18</v>
      </c>
      <c r="M409" s="4">
        <f t="shared" si="27"/>
        <v>5.26908669325721E+21</v>
      </c>
    </row>
    <row r="410" spans="1:13" x14ac:dyDescent="0.2">
      <c r="A410" s="3">
        <f>StartYear+408</f>
        <v>2433</v>
      </c>
      <c r="B410" s="4">
        <f>FacultyFTE*HoursPerWeek*WeeksPerYear*RatePerHour*(1+PracticeGrowth)^408</f>
        <v>127240834371001</v>
      </c>
      <c r="C410" s="4">
        <f>StudentsY1*(1+StudentGrowth)^408*CreditsPerStudent*TuitionPerCredit</f>
        <v>795255214818756.12</v>
      </c>
      <c r="D410" s="4">
        <f>SimRevY1*(1+SimGrowth)^408</f>
        <v>3.865320845654327E+21</v>
      </c>
      <c r="E410" s="4">
        <f>FacDevRevY1*(1+FacDevGrowth)^408</f>
        <v>1.9326604228271635E+21</v>
      </c>
      <c r="F410" s="4">
        <f t="shared" si="24"/>
        <v>5.7979820637367053E+21</v>
      </c>
      <c r="G410" s="4">
        <f t="shared" si="25"/>
        <v>5.7979821909775399E+21</v>
      </c>
      <c r="H410" s="4">
        <f>SalaryFTECount*SalaryPerFTE*(1+SalaryGrowth)^408</f>
        <v>1869914411017.8066</v>
      </c>
      <c r="I410" s="4">
        <f>SimOpsY1*(1+SimOpsGrowth)^408</f>
        <v>1.3002099745272617E+18</v>
      </c>
      <c r="J410" s="4">
        <f>TrainDevY1*(1+TrainDevGrowth)^408</f>
        <v>6.5010498726363085E+17</v>
      </c>
      <c r="K410" s="4">
        <f>AdminY1*(1+AdminGrowth)^408</f>
        <v>422496410621073.44</v>
      </c>
      <c r="L410" s="4">
        <f t="shared" si="26"/>
        <v>1.9507393281159247E+18</v>
      </c>
      <c r="M410" s="4">
        <f t="shared" si="27"/>
        <v>5.7960314516494237E+21</v>
      </c>
    </row>
    <row r="411" spans="1:13" x14ac:dyDescent="0.2">
      <c r="A411" s="3">
        <f>StartYear+409</f>
        <v>2434</v>
      </c>
      <c r="B411" s="4">
        <f>FacultyFTE*HoursPerWeek*WeeksPerYear*RatePerHour*(1+PracticeGrowth)^409</f>
        <v>133602876089551.08</v>
      </c>
      <c r="C411" s="4">
        <f>StudentsY1*(1+StudentGrowth)^409*CreditsPerStudent*TuitionPerCredit</f>
        <v>835017975559694.25</v>
      </c>
      <c r="D411" s="4">
        <f>SimRevY1*(1+SimGrowth)^409</f>
        <v>4.2518529302197599E+21</v>
      </c>
      <c r="E411" s="4">
        <f>FacDevRevY1*(1+FacDevGrowth)^409</f>
        <v>2.1259264651098799E+21</v>
      </c>
      <c r="F411" s="4">
        <f t="shared" si="24"/>
        <v>6.3777802303476156E+21</v>
      </c>
      <c r="G411" s="4">
        <f t="shared" si="25"/>
        <v>6.3777803639504922E+21</v>
      </c>
      <c r="H411" s="4">
        <f>SalaryFTECount*SalaryPerFTE*(1+SalaryGrowth)^409</f>
        <v>1944710987458.5193</v>
      </c>
      <c r="I411" s="4">
        <f>SimOpsY1*(1+SimOpsGrowth)^409</f>
        <v>1.4042267724894428E+18</v>
      </c>
      <c r="J411" s="4">
        <f>TrainDevY1*(1+TrainDevGrowth)^409</f>
        <v>7.0211338624472141E+17</v>
      </c>
      <c r="K411" s="4">
        <f>AdminY1*(1+AdminGrowth)^409</f>
        <v>447846195258337.81</v>
      </c>
      <c r="L411" s="4">
        <f t="shared" si="26"/>
        <v>2.1067899496404101E+18</v>
      </c>
      <c r="M411" s="4">
        <f t="shared" si="27"/>
        <v>6.3756735740008517E+21</v>
      </c>
    </row>
    <row r="412" spans="1:13" x14ac:dyDescent="0.2">
      <c r="A412" s="3">
        <f>StartYear+410</f>
        <v>2435</v>
      </c>
      <c r="B412" s="4">
        <f>FacultyFTE*HoursPerWeek*WeeksPerYear*RatePerHour*(1+PracticeGrowth)^410</f>
        <v>140283019894028.62</v>
      </c>
      <c r="C412" s="4">
        <f>StudentsY1*(1+StudentGrowth)^410*CreditsPerStudent*TuitionPerCredit</f>
        <v>876768874337678.88</v>
      </c>
      <c r="D412" s="4">
        <f>SimRevY1*(1+SimGrowth)^410</f>
        <v>4.6770382232417358E+21</v>
      </c>
      <c r="E412" s="4">
        <f>FacDevRevY1*(1+FacDevGrowth)^410</f>
        <v>2.3385191116208679E+21</v>
      </c>
      <c r="F412" s="4">
        <f t="shared" si="24"/>
        <v>7.0155582116314785E+21</v>
      </c>
      <c r="G412" s="4">
        <f t="shared" si="25"/>
        <v>7.0155583519144983E+21</v>
      </c>
      <c r="H412" s="4">
        <f>SalaryFTECount*SalaryPerFTE*(1+SalaryGrowth)^410</f>
        <v>2022499426956.8596</v>
      </c>
      <c r="I412" s="4">
        <f>SimOpsY1*(1+SimOpsGrowth)^410</f>
        <v>1.516564914288598E+18</v>
      </c>
      <c r="J412" s="4">
        <f>TrainDevY1*(1+TrainDevGrowth)^410</f>
        <v>7.5828245714429901E+17</v>
      </c>
      <c r="K412" s="4">
        <f>AdminY1*(1+AdminGrowth)^410</f>
        <v>474716966973838.12</v>
      </c>
      <c r="L412" s="4">
        <f t="shared" si="26"/>
        <v>2.275324110899298E+18</v>
      </c>
      <c r="M412" s="4">
        <f t="shared" si="27"/>
        <v>7.0132830278035985E+21</v>
      </c>
    </row>
    <row r="413" spans="1:13" x14ac:dyDescent="0.2">
      <c r="A413" s="3">
        <f>StartYear+411</f>
        <v>2436</v>
      </c>
      <c r="B413" s="4">
        <f>FacultyFTE*HoursPerWeek*WeeksPerYear*RatePerHour*(1+PracticeGrowth)^411</f>
        <v>147297170888730.09</v>
      </c>
      <c r="C413" s="4">
        <f>StudentsY1*(1+StudentGrowth)^411*CreditsPerStudent*TuitionPerCredit</f>
        <v>920607318054563.12</v>
      </c>
      <c r="D413" s="4">
        <f>SimRevY1*(1+SimGrowth)^411</f>
        <v>5.1447420455659116E+21</v>
      </c>
      <c r="E413" s="4">
        <f>FacDevRevY1*(1+FacDevGrowth)^411</f>
        <v>2.5723710227829558E+21</v>
      </c>
      <c r="F413" s="4">
        <f t="shared" si="24"/>
        <v>7.7171139889561862E+21</v>
      </c>
      <c r="G413" s="4">
        <f t="shared" si="25"/>
        <v>7.7171141362533574E+21</v>
      </c>
      <c r="H413" s="4">
        <f>SalaryFTECount*SalaryPerFTE*(1+SalaryGrowth)^411</f>
        <v>2103399404035.1343</v>
      </c>
      <c r="I413" s="4">
        <f>SimOpsY1*(1+SimOpsGrowth)^411</f>
        <v>1.6378901074316859E+18</v>
      </c>
      <c r="J413" s="4">
        <f>TrainDevY1*(1+TrainDevGrowth)^411</f>
        <v>8.1894505371584294E+17</v>
      </c>
      <c r="K413" s="4">
        <f>AdminY1*(1+AdminGrowth)^411</f>
        <v>503199984992268.44</v>
      </c>
      <c r="L413" s="4">
        <f t="shared" si="26"/>
        <v>2.457340464531925E+18</v>
      </c>
      <c r="M413" s="4">
        <f t="shared" si="27"/>
        <v>7.7146567957888253E+21</v>
      </c>
    </row>
    <row r="414" spans="1:13" x14ac:dyDescent="0.2">
      <c r="A414" s="3">
        <f>StartYear+412</f>
        <v>2437</v>
      </c>
      <c r="B414" s="4">
        <f>FacultyFTE*HoursPerWeek*WeeksPerYear*RatePerHour*(1+PracticeGrowth)^412</f>
        <v>154662029433166.59</v>
      </c>
      <c r="C414" s="4">
        <f>StudentsY1*(1+StudentGrowth)^412*CreditsPerStudent*TuitionPerCredit</f>
        <v>966637683957291.12</v>
      </c>
      <c r="D414" s="4">
        <f>SimRevY1*(1+SimGrowth)^412</f>
        <v>5.6592162501225024E+21</v>
      </c>
      <c r="E414" s="4">
        <f>FacDevRevY1*(1+FacDevGrowth)^412</f>
        <v>2.8296081250612512E+21</v>
      </c>
      <c r="F414" s="4">
        <f t="shared" si="24"/>
        <v>8.4888253418214366E+21</v>
      </c>
      <c r="G414" s="4">
        <f t="shared" si="25"/>
        <v>8.4888254964834658E+21</v>
      </c>
      <c r="H414" s="4">
        <f>SalaryFTECount*SalaryPerFTE*(1+SalaryGrowth)^412</f>
        <v>2187535380196.54</v>
      </c>
      <c r="I414" s="4">
        <f>SimOpsY1*(1+SimOpsGrowth)^412</f>
        <v>1.7689213160262208E+18</v>
      </c>
      <c r="J414" s="4">
        <f>TrainDevY1*(1+TrainDevGrowth)^412</f>
        <v>8.844606580131104E+17</v>
      </c>
      <c r="K414" s="4">
        <f>AdminY1*(1+AdminGrowth)^412</f>
        <v>533391984091804.69</v>
      </c>
      <c r="L414" s="4">
        <f t="shared" si="26"/>
        <v>2.6539175535588029E+18</v>
      </c>
      <c r="M414" s="4">
        <f t="shared" si="27"/>
        <v>8.4861715789299067E+21</v>
      </c>
    </row>
    <row r="415" spans="1:13" x14ac:dyDescent="0.2">
      <c r="A415" s="3">
        <f>StartYear+413</f>
        <v>2438</v>
      </c>
      <c r="B415" s="4">
        <f>FacultyFTE*HoursPerWeek*WeeksPerYear*RatePerHour*(1+PracticeGrowth)^413</f>
        <v>162395130904824.91</v>
      </c>
      <c r="C415" s="4">
        <f>StudentsY1*(1+StudentGrowth)^413*CreditsPerStudent*TuitionPerCredit</f>
        <v>1014969568155155.6</v>
      </c>
      <c r="D415" s="4">
        <f>SimRevY1*(1+SimGrowth)^413</f>
        <v>6.2251378751347528E+21</v>
      </c>
      <c r="E415" s="4">
        <f>FacDevRevY1*(1+FacDevGrowth)^413</f>
        <v>3.1125689375673764E+21</v>
      </c>
      <c r="F415" s="4">
        <f t="shared" si="24"/>
        <v>9.3377078276716977E+21</v>
      </c>
      <c r="G415" s="4">
        <f t="shared" si="25"/>
        <v>9.3377079900668281E+21</v>
      </c>
      <c r="H415" s="4">
        <f>SalaryFTECount*SalaryPerFTE*(1+SalaryGrowth)^413</f>
        <v>2275036795404.4019</v>
      </c>
      <c r="I415" s="4">
        <f>SimOpsY1*(1+SimOpsGrowth)^413</f>
        <v>1.9104350213083187E+18</v>
      </c>
      <c r="J415" s="4">
        <f>TrainDevY1*(1+TrainDevGrowth)^413</f>
        <v>9.5521751065415936E+17</v>
      </c>
      <c r="K415" s="4">
        <f>AdminY1*(1+AdminGrowth)^413</f>
        <v>565395503137312.88</v>
      </c>
      <c r="L415" s="4">
        <f t="shared" si="26"/>
        <v>2.8662202025024108E+18</v>
      </c>
      <c r="M415" s="4">
        <f t="shared" si="27"/>
        <v>9.334841769864326E+21</v>
      </c>
    </row>
    <row r="416" spans="1:13" x14ac:dyDescent="0.2">
      <c r="A416" s="3">
        <f>StartYear+414</f>
        <v>2439</v>
      </c>
      <c r="B416" s="4">
        <f>FacultyFTE*HoursPerWeek*WeeksPerYear*RatePerHour*(1+PracticeGrowth)^414</f>
        <v>170514887450066.09</v>
      </c>
      <c r="C416" s="4">
        <f>StudentsY1*(1+StudentGrowth)^414*CreditsPerStudent*TuitionPerCredit</f>
        <v>1065718046562913.1</v>
      </c>
      <c r="D416" s="4">
        <f>SimRevY1*(1+SimGrowth)^414</f>
        <v>6.84765166264823E+21</v>
      </c>
      <c r="E416" s="4">
        <f>FacDevRevY1*(1+FacDevGrowth)^414</f>
        <v>3.423825831324115E+21</v>
      </c>
      <c r="F416" s="4">
        <f t="shared" si="24"/>
        <v>1.0271478559690392E+22</v>
      </c>
      <c r="G416" s="4">
        <f t="shared" si="25"/>
        <v>1.0271478730205279E+22</v>
      </c>
      <c r="H416" s="4">
        <f>SalaryFTECount*SalaryPerFTE*(1+SalaryGrowth)^414</f>
        <v>2366038267220.5776</v>
      </c>
      <c r="I416" s="4">
        <f>SimOpsY1*(1+SimOpsGrowth)^414</f>
        <v>2.0632698230129846E+18</v>
      </c>
      <c r="J416" s="4">
        <f>TrainDevY1*(1+TrainDevGrowth)^414</f>
        <v>1.0316349115064923E+18</v>
      </c>
      <c r="K416" s="4">
        <f>AdminY1*(1+AdminGrowth)^414</f>
        <v>599319233325551.62</v>
      </c>
      <c r="L416" s="4">
        <f t="shared" si="26"/>
        <v>3.0955064197910697E+18</v>
      </c>
      <c r="M416" s="4">
        <f t="shared" si="27"/>
        <v>1.0268383223785487E+22</v>
      </c>
    </row>
    <row r="417" spans="1:13" x14ac:dyDescent="0.2">
      <c r="A417" s="3">
        <f>StartYear+415</f>
        <v>2440</v>
      </c>
      <c r="B417" s="4">
        <f>FacultyFTE*HoursPerWeek*WeeksPerYear*RatePerHour*(1+PracticeGrowth)^415</f>
        <v>179040631822569.47</v>
      </c>
      <c r="C417" s="4">
        <f>StudentsY1*(1+StudentGrowth)^415*CreditsPerStudent*TuitionPerCredit</f>
        <v>1119003948891059.1</v>
      </c>
      <c r="D417" s="4">
        <f>SimRevY1*(1+SimGrowth)^415</f>
        <v>7.5324168289130507E+21</v>
      </c>
      <c r="E417" s="4">
        <f>FacDevRevY1*(1+FacDevGrowth)^415</f>
        <v>3.7662084144565254E+21</v>
      </c>
      <c r="F417" s="4">
        <f t="shared" si="24"/>
        <v>1.1298626362373524E+22</v>
      </c>
      <c r="G417" s="4">
        <f t="shared" si="25"/>
        <v>1.1298626541414156E+22</v>
      </c>
      <c r="H417" s="4">
        <f>SalaryFTECount*SalaryPerFTE*(1+SalaryGrowth)^415</f>
        <v>2460679797909.4004</v>
      </c>
      <c r="I417" s="4">
        <f>SimOpsY1*(1+SimOpsGrowth)^415</f>
        <v>2.2283314088540237E+18</v>
      </c>
      <c r="J417" s="4">
        <f>TrainDevY1*(1+TrainDevGrowth)^415</f>
        <v>1.1141657044270118E+18</v>
      </c>
      <c r="K417" s="4">
        <f>AdminY1*(1+AdminGrowth)^415</f>
        <v>635278387325084.88</v>
      </c>
      <c r="L417" s="4">
        <f t="shared" si="26"/>
        <v>3.3431348523481585E+18</v>
      </c>
      <c r="M417" s="4">
        <f t="shared" si="27"/>
        <v>1.1295283406561807E+22</v>
      </c>
    </row>
    <row r="418" spans="1:13" x14ac:dyDescent="0.2">
      <c r="A418" s="3">
        <f>StartYear+416</f>
        <v>2441</v>
      </c>
      <c r="B418" s="4">
        <f>FacultyFTE*HoursPerWeek*WeeksPerYear*RatePerHour*(1+PracticeGrowth)^416</f>
        <v>187992663413697.91</v>
      </c>
      <c r="C418" s="4">
        <f>StudentsY1*(1+StudentGrowth)^416*CreditsPerStudent*TuitionPerCredit</f>
        <v>1174954146335612</v>
      </c>
      <c r="D418" s="4">
        <f>SimRevY1*(1+SimGrowth)^416</f>
        <v>8.2856585118043582E+21</v>
      </c>
      <c r="E418" s="4">
        <f>FacDevRevY1*(1+FacDevGrowth)^416</f>
        <v>4.1428292559021791E+21</v>
      </c>
      <c r="F418" s="4">
        <f t="shared" si="24"/>
        <v>1.2428488942660683E+22</v>
      </c>
      <c r="G418" s="4">
        <f t="shared" si="25"/>
        <v>1.2428489130653346E+22</v>
      </c>
      <c r="H418" s="4">
        <f>SalaryFTECount*SalaryPerFTE*(1+SalaryGrowth)^416</f>
        <v>2559106989825.7773</v>
      </c>
      <c r="I418" s="4">
        <f>SimOpsY1*(1+SimOpsGrowth)^416</f>
        <v>2.4065979215623455E+18</v>
      </c>
      <c r="J418" s="4">
        <f>TrainDevY1*(1+TrainDevGrowth)^416</f>
        <v>1.2032989607811727E+18</v>
      </c>
      <c r="K418" s="4">
        <f>AdminY1*(1+AdminGrowth)^416</f>
        <v>673395090564589.88</v>
      </c>
      <c r="L418" s="4">
        <f t="shared" si="26"/>
        <v>3.6105728365410729E+18</v>
      </c>
      <c r="M418" s="4">
        <f t="shared" si="27"/>
        <v>1.2424878557816804E+22</v>
      </c>
    </row>
    <row r="419" spans="1:13" x14ac:dyDescent="0.2">
      <c r="A419" s="3">
        <f>StartYear+417</f>
        <v>2442</v>
      </c>
      <c r="B419" s="4">
        <f>FacultyFTE*HoursPerWeek*WeeksPerYear*RatePerHour*(1+PracticeGrowth)^417</f>
        <v>197392296584382.84</v>
      </c>
      <c r="C419" s="4">
        <f>StudentsY1*(1+StudentGrowth)^417*CreditsPerStudent*TuitionPerCredit</f>
        <v>1233701853652392.8</v>
      </c>
      <c r="D419" s="4">
        <f>SimRevY1*(1+SimGrowth)^417</f>
        <v>9.1142243629847953E+21</v>
      </c>
      <c r="E419" s="4">
        <f>FacDevRevY1*(1+FacDevGrowth)^417</f>
        <v>4.5571121814923976E+21</v>
      </c>
      <c r="F419" s="4">
        <f t="shared" si="24"/>
        <v>1.3671337778179048E+22</v>
      </c>
      <c r="G419" s="4">
        <f t="shared" si="25"/>
        <v>1.3671337975571345E+22</v>
      </c>
      <c r="H419" s="4">
        <f>SalaryFTECount*SalaryPerFTE*(1+SalaryGrowth)^417</f>
        <v>2661471269418.8081</v>
      </c>
      <c r="I419" s="4">
        <f>SimOpsY1*(1+SimOpsGrowth)^417</f>
        <v>2.5991257552873334E+18</v>
      </c>
      <c r="J419" s="4">
        <f>TrainDevY1*(1+TrainDevGrowth)^417</f>
        <v>1.2995628776436667E+18</v>
      </c>
      <c r="K419" s="4">
        <f>AdminY1*(1+AdminGrowth)^417</f>
        <v>713798795998465.38</v>
      </c>
      <c r="L419" s="4">
        <f t="shared" si="26"/>
        <v>3.8994050931982679E+18</v>
      </c>
      <c r="M419" s="4">
        <f t="shared" si="27"/>
        <v>1.3667438570478147E+22</v>
      </c>
    </row>
    <row r="420" spans="1:13" x14ac:dyDescent="0.2">
      <c r="A420" s="3">
        <f>StartYear+418</f>
        <v>2443</v>
      </c>
      <c r="B420" s="4">
        <f>FacultyFTE*HoursPerWeek*WeeksPerYear*RatePerHour*(1+PracticeGrowth)^418</f>
        <v>207261911413601.94</v>
      </c>
      <c r="C420" s="4">
        <f>StudentsY1*(1+StudentGrowth)^418*CreditsPerStudent*TuitionPerCredit</f>
        <v>1295386946335012</v>
      </c>
      <c r="D420" s="4">
        <f>SimRevY1*(1+SimGrowth)^418</f>
        <v>1.0025646799283275E+22</v>
      </c>
      <c r="E420" s="4">
        <f>FacDevRevY1*(1+FacDevGrowth)^418</f>
        <v>5.0128233996416377E+21</v>
      </c>
      <c r="F420" s="4">
        <f t="shared" si="24"/>
        <v>1.503847149431186E+22</v>
      </c>
      <c r="G420" s="4">
        <f t="shared" si="25"/>
        <v>1.5038471701573772E+22</v>
      </c>
      <c r="H420" s="4">
        <f>SalaryFTECount*SalaryPerFTE*(1+SalaryGrowth)^418</f>
        <v>2767930120195.5605</v>
      </c>
      <c r="I420" s="4">
        <f>SimOpsY1*(1+SimOpsGrowth)^418</f>
        <v>2.8070558157103196E+18</v>
      </c>
      <c r="J420" s="4">
        <f>TrainDevY1*(1+TrainDevGrowth)^418</f>
        <v>1.4035279078551598E+18</v>
      </c>
      <c r="K420" s="4">
        <f>AdminY1*(1+AdminGrowth)^418</f>
        <v>756626723758373.25</v>
      </c>
      <c r="L420" s="4">
        <f t="shared" si="26"/>
        <v>4.2113431182193582E+18</v>
      </c>
      <c r="M420" s="4">
        <f t="shared" si="27"/>
        <v>1.5034260358455552E+22</v>
      </c>
    </row>
    <row r="421" spans="1:13" x14ac:dyDescent="0.2">
      <c r="A421" s="3">
        <f>StartYear+419</f>
        <v>2444</v>
      </c>
      <c r="B421" s="4">
        <f>FacultyFTE*HoursPerWeek*WeeksPerYear*RatePerHour*(1+PracticeGrowth)^419</f>
        <v>217625006984282.09</v>
      </c>
      <c r="C421" s="4">
        <f>StudentsY1*(1+StudentGrowth)^419*CreditsPerStudent*TuitionPerCredit</f>
        <v>1360156293651763.2</v>
      </c>
      <c r="D421" s="4">
        <f>SimRevY1*(1+SimGrowth)^419</f>
        <v>1.1028211479211604E+22</v>
      </c>
      <c r="E421" s="4">
        <f>FacDevRevY1*(1+FacDevGrowth)^419</f>
        <v>5.5141057396058022E+21</v>
      </c>
      <c r="F421" s="4">
        <f t="shared" si="24"/>
        <v>1.65423185789737E+22</v>
      </c>
      <c r="G421" s="4">
        <f t="shared" si="25"/>
        <v>1.6542318796598707E+22</v>
      </c>
      <c r="H421" s="4">
        <f>SalaryFTECount*SalaryPerFTE*(1+SalaryGrowth)^419</f>
        <v>2878647325003.3833</v>
      </c>
      <c r="I421" s="4">
        <f>SimOpsY1*(1+SimOpsGrowth)^419</f>
        <v>3.0316202809671455E+18</v>
      </c>
      <c r="J421" s="4">
        <f>TrainDevY1*(1+TrainDevGrowth)^419</f>
        <v>1.5158101404835727E+18</v>
      </c>
      <c r="K421" s="4">
        <f>AdminY1*(1+AdminGrowth)^419</f>
        <v>802024327183875.88</v>
      </c>
      <c r="L421" s="4">
        <f t="shared" si="26"/>
        <v>4.5482353244252273E+18</v>
      </c>
      <c r="M421" s="4">
        <f t="shared" si="27"/>
        <v>1.6537770561274282E+22</v>
      </c>
    </row>
    <row r="422" spans="1:13" x14ac:dyDescent="0.2">
      <c r="A422" s="3">
        <f>StartYear+420</f>
        <v>2445</v>
      </c>
      <c r="B422" s="4">
        <f>FacultyFTE*HoursPerWeek*WeeksPerYear*RatePerHour*(1+PracticeGrowth)^420</f>
        <v>228506257333496.16</v>
      </c>
      <c r="C422" s="4">
        <f>StudentsY1*(1+StudentGrowth)^420*CreditsPerStudent*TuitionPerCredit</f>
        <v>1428164108334351</v>
      </c>
      <c r="D422" s="4">
        <f>SimRevY1*(1+SimGrowth)^420</f>
        <v>1.2131032627132762E+22</v>
      </c>
      <c r="E422" s="4">
        <f>FacDevRevY1*(1+FacDevGrowth)^420</f>
        <v>6.0655163135663811E+21</v>
      </c>
      <c r="F422" s="4">
        <f t="shared" si="24"/>
        <v>1.8196550368863252E+22</v>
      </c>
      <c r="G422" s="4">
        <f t="shared" si="25"/>
        <v>1.8196550597369508E+22</v>
      </c>
      <c r="H422" s="4">
        <f>SalaryFTECount*SalaryPerFTE*(1+SalaryGrowth)^420</f>
        <v>2993793218003.5186</v>
      </c>
      <c r="I422" s="4">
        <f>SimOpsY1*(1+SimOpsGrowth)^420</f>
        <v>3.2741499034445174E+18</v>
      </c>
      <c r="J422" s="4">
        <f>TrainDevY1*(1+TrainDevGrowth)^420</f>
        <v>1.6370749517222587E+18</v>
      </c>
      <c r="K422" s="4">
        <f>AdminY1*(1+AdminGrowth)^420</f>
        <v>850145786814908.5</v>
      </c>
      <c r="L422" s="4">
        <f t="shared" si="26"/>
        <v>4.9120779947468083E+18</v>
      </c>
      <c r="M422" s="4">
        <f t="shared" si="27"/>
        <v>1.8191638519374762E+22</v>
      </c>
    </row>
    <row r="423" spans="1:13" x14ac:dyDescent="0.2">
      <c r="A423" s="3">
        <f>StartYear+421</f>
        <v>2446</v>
      </c>
      <c r="B423" s="4">
        <f>FacultyFTE*HoursPerWeek*WeeksPerYear*RatePerHour*(1+PracticeGrowth)^421</f>
        <v>239931570200171.03</v>
      </c>
      <c r="C423" s="4">
        <f>StudentsY1*(1+StudentGrowth)^421*CreditsPerStudent*TuitionPerCredit</f>
        <v>1499572313751069.2</v>
      </c>
      <c r="D423" s="4">
        <f>SimRevY1*(1+SimGrowth)^421</f>
        <v>1.3344135889846039E+22</v>
      </c>
      <c r="E423" s="4">
        <f>FacDevRevY1*(1+FacDevGrowth)^421</f>
        <v>6.6720679449230196E+21</v>
      </c>
      <c r="F423" s="4">
        <f t="shared" si="24"/>
        <v>2.0016205334341373E+22</v>
      </c>
      <c r="G423" s="4">
        <f t="shared" si="25"/>
        <v>2.0016205574272943E+22</v>
      </c>
      <c r="H423" s="4">
        <f>SalaryFTECount*SalaryPerFTE*(1+SalaryGrowth)^421</f>
        <v>3113544946723.6597</v>
      </c>
      <c r="I423" s="4">
        <f>SimOpsY1*(1+SimOpsGrowth)^421</f>
        <v>3.5360818957200794E+18</v>
      </c>
      <c r="J423" s="4">
        <f>TrainDevY1*(1+TrainDevGrowth)^421</f>
        <v>1.7680409478600397E+18</v>
      </c>
      <c r="K423" s="4">
        <f>AdminY1*(1+AdminGrowth)^421</f>
        <v>901154534023803</v>
      </c>
      <c r="L423" s="4">
        <f t="shared" si="26"/>
        <v>5.3050271116590899E+18</v>
      </c>
      <c r="M423" s="4">
        <f t="shared" si="27"/>
        <v>2.0010900547161284E+22</v>
      </c>
    </row>
    <row r="424" spans="1:13" x14ac:dyDescent="0.2">
      <c r="A424" s="3">
        <f>StartYear+422</f>
        <v>2447</v>
      </c>
      <c r="B424" s="4">
        <f>FacultyFTE*HoursPerWeek*WeeksPerYear*RatePerHour*(1+PracticeGrowth)^422</f>
        <v>251928148710179.5</v>
      </c>
      <c r="C424" s="4">
        <f>StudentsY1*(1+StudentGrowth)^422*CreditsPerStudent*TuitionPerCredit</f>
        <v>1574550929438622</v>
      </c>
      <c r="D424" s="4">
        <f>SimRevY1*(1+SimGrowth)^422</f>
        <v>1.4678549478830649E+22</v>
      </c>
      <c r="E424" s="4">
        <f>FacDevRevY1*(1+FacDevGrowth)^422</f>
        <v>7.3392747394153243E+21</v>
      </c>
      <c r="F424" s="4">
        <f t="shared" si="24"/>
        <v>2.2017825792796905E+22</v>
      </c>
      <c r="G424" s="4">
        <f t="shared" si="25"/>
        <v>2.2017826044725053E+22</v>
      </c>
      <c r="H424" s="4">
        <f>SalaryFTECount*SalaryPerFTE*(1+SalaryGrowth)^422</f>
        <v>3238086744592.6055</v>
      </c>
      <c r="I424" s="4">
        <f>SimOpsY1*(1+SimOpsGrowth)^422</f>
        <v>3.818968447377686E+18</v>
      </c>
      <c r="J424" s="4">
        <f>TrainDevY1*(1+TrainDevGrowth)^422</f>
        <v>1.909484223688843E+18</v>
      </c>
      <c r="K424" s="4">
        <f>AdminY1*(1+AdminGrowth)^422</f>
        <v>955223806065231.38</v>
      </c>
      <c r="L424" s="4">
        <f t="shared" si="26"/>
        <v>5.7294111329593395E+18</v>
      </c>
      <c r="M424" s="4">
        <f t="shared" si="27"/>
        <v>2.2012096633592093E+22</v>
      </c>
    </row>
    <row r="425" spans="1:13" x14ac:dyDescent="0.2">
      <c r="A425" s="3">
        <f>StartYear+423</f>
        <v>2448</v>
      </c>
      <c r="B425" s="4">
        <f>FacultyFTE*HoursPerWeek*WeeksPerYear*RatePerHour*(1+PracticeGrowth)^423</f>
        <v>264524556145688.56</v>
      </c>
      <c r="C425" s="4">
        <f>StudentsY1*(1+StudentGrowth)^423*CreditsPerStudent*TuitionPerCredit</f>
        <v>1653278475910553.5</v>
      </c>
      <c r="D425" s="4">
        <f>SimRevY1*(1+SimGrowth)^423</f>
        <v>1.6146404426713712E+22</v>
      </c>
      <c r="E425" s="4">
        <f>FacDevRevY1*(1+FacDevGrowth)^423</f>
        <v>8.0732022133568559E+21</v>
      </c>
      <c r="F425" s="4">
        <f t="shared" si="24"/>
        <v>2.4219608293349043E+22</v>
      </c>
      <c r="G425" s="4">
        <f t="shared" si="25"/>
        <v>2.42196085578736E+22</v>
      </c>
      <c r="H425" s="4">
        <f>SalaryFTECount*SalaryPerFTE*(1+SalaryGrowth)^423</f>
        <v>3367610214376.3096</v>
      </c>
      <c r="I425" s="4">
        <f>SimOpsY1*(1+SimOpsGrowth)^423</f>
        <v>4.1244859231679007E+18</v>
      </c>
      <c r="J425" s="4">
        <f>TrainDevY1*(1+TrainDevGrowth)^423</f>
        <v>2.0622429615839503E+18</v>
      </c>
      <c r="K425" s="4">
        <f>AdminY1*(1+AdminGrowth)^423</f>
        <v>1012537234429145.4</v>
      </c>
      <c r="L425" s="4">
        <f t="shared" si="26"/>
        <v>6.1877447895964948E+18</v>
      </c>
      <c r="M425" s="4">
        <f t="shared" si="27"/>
        <v>2.4213420813084002E+22</v>
      </c>
    </row>
    <row r="426" spans="1:13" x14ac:dyDescent="0.2">
      <c r="A426" s="3">
        <f>StartYear+424</f>
        <v>2449</v>
      </c>
      <c r="B426" s="4">
        <f>FacultyFTE*HoursPerWeek*WeeksPerYear*RatePerHour*(1+PracticeGrowth)^424</f>
        <v>277750783952972.91</v>
      </c>
      <c r="C426" s="4">
        <f>StudentsY1*(1+StudentGrowth)^424*CreditsPerStudent*TuitionPerCredit</f>
        <v>1735942399706080.8</v>
      </c>
      <c r="D426" s="4">
        <f>SimRevY1*(1+SimGrowth)^424</f>
        <v>1.7761044869385082E+22</v>
      </c>
      <c r="E426" s="4">
        <f>FacDevRevY1*(1+FacDevGrowth)^424</f>
        <v>8.8805224346925411E+21</v>
      </c>
      <c r="F426" s="4">
        <f t="shared" si="24"/>
        <v>2.6641569040020021E+22</v>
      </c>
      <c r="G426" s="4">
        <f t="shared" si="25"/>
        <v>2.6641569317770804E+22</v>
      </c>
      <c r="H426" s="4">
        <f>SalaryFTECount*SalaryPerFTE*(1+SalaryGrowth)^424</f>
        <v>3502314622951.3633</v>
      </c>
      <c r="I426" s="4">
        <f>SimOpsY1*(1+SimOpsGrowth)^424</f>
        <v>4.454444797021333E+18</v>
      </c>
      <c r="J426" s="4">
        <f>TrainDevY1*(1+TrainDevGrowth)^424</f>
        <v>2.2272223985106665E+18</v>
      </c>
      <c r="K426" s="4">
        <f>AdminY1*(1+AdminGrowth)^424</f>
        <v>1073289468494893.8</v>
      </c>
      <c r="L426" s="4">
        <f t="shared" si="26"/>
        <v>6.6827439873151171E+18</v>
      </c>
      <c r="M426" s="4">
        <f t="shared" si="27"/>
        <v>2.663488657378349E+22</v>
      </c>
    </row>
    <row r="427" spans="1:13" x14ac:dyDescent="0.2">
      <c r="A427" s="3">
        <f>StartYear+425</f>
        <v>2450</v>
      </c>
      <c r="B427" s="4">
        <f>FacultyFTE*HoursPerWeek*WeeksPerYear*RatePerHour*(1+PracticeGrowth)^425</f>
        <v>291638323150621.62</v>
      </c>
      <c r="C427" s="4">
        <f>StudentsY1*(1+StudentGrowth)^425*CreditsPerStudent*TuitionPerCredit</f>
        <v>1822739519691385</v>
      </c>
      <c r="D427" s="4">
        <f>SimRevY1*(1+SimGrowth)^425</f>
        <v>1.9537149356323595E+22</v>
      </c>
      <c r="E427" s="4">
        <f>FacDevRevY1*(1+FacDevGrowth)^425</f>
        <v>9.7685746781617977E+21</v>
      </c>
      <c r="F427" s="4">
        <f t="shared" si="24"/>
        <v>2.9305725857224911E+22</v>
      </c>
      <c r="G427" s="4">
        <f t="shared" si="25"/>
        <v>2.9305726148863236E+22</v>
      </c>
      <c r="H427" s="4">
        <f>SalaryFTECount*SalaryPerFTE*(1+SalaryGrowth)^425</f>
        <v>3642407207869.4175</v>
      </c>
      <c r="I427" s="4">
        <f>SimOpsY1*(1+SimOpsGrowth)^425</f>
        <v>4.8108003807830405E+18</v>
      </c>
      <c r="J427" s="4">
        <f>TrainDevY1*(1+TrainDevGrowth)^425</f>
        <v>2.4054001903915203E+18</v>
      </c>
      <c r="K427" s="4">
        <f>AdminY1*(1+AdminGrowth)^425</f>
        <v>1137686836604587.5</v>
      </c>
      <c r="L427" s="4">
        <f t="shared" si="26"/>
        <v>7.2173419004183736E+18</v>
      </c>
      <c r="M427" s="4">
        <f t="shared" si="27"/>
        <v>2.9298508806962817E+22</v>
      </c>
    </row>
    <row r="428" spans="1:13" x14ac:dyDescent="0.2">
      <c r="A428" s="3">
        <f>StartYear+426</f>
        <v>2451</v>
      </c>
      <c r="B428" s="4">
        <f>FacultyFTE*HoursPerWeek*WeeksPerYear*RatePerHour*(1+PracticeGrowth)^426</f>
        <v>306220239308152.69</v>
      </c>
      <c r="C428" s="4">
        <f>StudentsY1*(1+StudentGrowth)^426*CreditsPerStudent*TuitionPerCredit</f>
        <v>1913876495675954</v>
      </c>
      <c r="D428" s="4">
        <f>SimRevY1*(1+SimGrowth)^426</f>
        <v>2.1490864291955952E+22</v>
      </c>
      <c r="E428" s="4">
        <f>FacDevRevY1*(1+FacDevGrowth)^426</f>
        <v>1.0745432145977976E+22</v>
      </c>
      <c r="F428" s="4">
        <f t="shared" si="24"/>
        <v>3.2236298351810422E+22</v>
      </c>
      <c r="G428" s="4">
        <f t="shared" si="25"/>
        <v>3.223629865803066E+22</v>
      </c>
      <c r="H428" s="4">
        <f>SalaryFTECount*SalaryPerFTE*(1+SalaryGrowth)^426</f>
        <v>3788103496184.1943</v>
      </c>
      <c r="I428" s="4">
        <f>SimOpsY1*(1+SimOpsGrowth)^426</f>
        <v>5.1956644112456827E+18</v>
      </c>
      <c r="J428" s="4">
        <f>TrainDevY1*(1+TrainDevGrowth)^426</f>
        <v>2.5978322056228413E+18</v>
      </c>
      <c r="K428" s="4">
        <f>AdminY1*(1+AdminGrowth)^426</f>
        <v>1205948046800863</v>
      </c>
      <c r="L428" s="4">
        <f t="shared" si="26"/>
        <v>7.7947063530188206E+18</v>
      </c>
      <c r="M428" s="4">
        <f t="shared" si="27"/>
        <v>3.222850395167764E+22</v>
      </c>
    </row>
    <row r="429" spans="1:13" x14ac:dyDescent="0.2">
      <c r="A429" s="3">
        <f>StartYear+427</f>
        <v>2452</v>
      </c>
      <c r="B429" s="4">
        <f>FacultyFTE*HoursPerWeek*WeeksPerYear*RatePerHour*(1+PracticeGrowth)^427</f>
        <v>321531251273560.31</v>
      </c>
      <c r="C429" s="4">
        <f>StudentsY1*(1+StudentGrowth)^427*CreditsPerStudent*TuitionPerCredit</f>
        <v>2009570320459752</v>
      </c>
      <c r="D429" s="4">
        <f>SimRevY1*(1+SimGrowth)^427</f>
        <v>2.3639950721151553E+22</v>
      </c>
      <c r="E429" s="4">
        <f>FacDevRevY1*(1+FacDevGrowth)^427</f>
        <v>1.1819975360575776E+22</v>
      </c>
      <c r="F429" s="4">
        <f t="shared" si="24"/>
        <v>3.5459928091297646E+22</v>
      </c>
      <c r="G429" s="4">
        <f t="shared" si="25"/>
        <v>3.5459928412828897E+22</v>
      </c>
      <c r="H429" s="4">
        <f>SalaryFTECount*SalaryPerFTE*(1+SalaryGrowth)^427</f>
        <v>3939627636031.5625</v>
      </c>
      <c r="I429" s="4">
        <f>SimOpsY1*(1+SimOpsGrowth)^427</f>
        <v>5.6113175641453373E+18</v>
      </c>
      <c r="J429" s="4">
        <f>TrainDevY1*(1+TrainDevGrowth)^427</f>
        <v>2.8056587820726687E+18</v>
      </c>
      <c r="K429" s="4">
        <f>AdminY1*(1+AdminGrowth)^427</f>
        <v>1278304929608914.8</v>
      </c>
      <c r="L429" s="4">
        <f t="shared" si="26"/>
        <v>8.4182585907752499E+18</v>
      </c>
      <c r="M429" s="4">
        <f t="shared" si="27"/>
        <v>3.5451510154238123E+22</v>
      </c>
    </row>
    <row r="430" spans="1:13" x14ac:dyDescent="0.2">
      <c r="A430" s="3">
        <f>StartYear+428</f>
        <v>2453</v>
      </c>
      <c r="B430" s="4">
        <f>FacultyFTE*HoursPerWeek*WeeksPerYear*RatePerHour*(1+PracticeGrowth)^428</f>
        <v>337607813837238.31</v>
      </c>
      <c r="C430" s="4">
        <f>StudentsY1*(1+StudentGrowth)^428*CreditsPerStudent*TuitionPerCredit</f>
        <v>2110048836482739.5</v>
      </c>
      <c r="D430" s="4">
        <f>SimRevY1*(1+SimGrowth)^428</f>
        <v>2.6003945793266708E+22</v>
      </c>
      <c r="E430" s="4">
        <f>FacDevRevY1*(1+FacDevGrowth)^428</f>
        <v>1.3001972896633354E+22</v>
      </c>
      <c r="F430" s="4">
        <f t="shared" si="24"/>
        <v>3.9005920799948896E+22</v>
      </c>
      <c r="G430" s="4">
        <f t="shared" si="25"/>
        <v>3.9005921137556713E+22</v>
      </c>
      <c r="H430" s="4">
        <f>SalaryFTECount*SalaryPerFTE*(1+SalaryGrowth)^428</f>
        <v>4097212741472.8252</v>
      </c>
      <c r="I430" s="4">
        <f>SimOpsY1*(1+SimOpsGrowth)^428</f>
        <v>6.0602229692769649E+18</v>
      </c>
      <c r="J430" s="4">
        <f>TrainDevY1*(1+TrainDevGrowth)^428</f>
        <v>3.0301114846384824E+18</v>
      </c>
      <c r="K430" s="4">
        <f>AdminY1*(1+AdminGrowth)^428</f>
        <v>1355003225385449.8</v>
      </c>
      <c r="L430" s="4">
        <f t="shared" si="26"/>
        <v>9.0916935543535739E+18</v>
      </c>
      <c r="M430" s="4">
        <f t="shared" si="27"/>
        <v>3.8996829444002359E+22</v>
      </c>
    </row>
    <row r="431" spans="1:13" x14ac:dyDescent="0.2">
      <c r="A431" s="3">
        <f>StartYear+429</f>
        <v>2454</v>
      </c>
      <c r="B431" s="4">
        <f>FacultyFTE*HoursPerWeek*WeeksPerYear*RatePerHour*(1+PracticeGrowth)^429</f>
        <v>354488204529100.31</v>
      </c>
      <c r="C431" s="4">
        <f>StudentsY1*(1+StudentGrowth)^429*CreditsPerStudent*TuitionPerCredit</f>
        <v>2215551278306877</v>
      </c>
      <c r="D431" s="4">
        <f>SimRevY1*(1+SimGrowth)^429</f>
        <v>2.8604340372593382E+22</v>
      </c>
      <c r="E431" s="4">
        <f>FacDevRevY1*(1+FacDevGrowth)^429</f>
        <v>1.4302170186296691E+22</v>
      </c>
      <c r="F431" s="4">
        <f t="shared" si="24"/>
        <v>4.2906512774441355E+22</v>
      </c>
      <c r="G431" s="4">
        <f t="shared" si="25"/>
        <v>4.2906513128929559E+22</v>
      </c>
      <c r="H431" s="4">
        <f>SalaryFTECount*SalaryPerFTE*(1+SalaryGrowth)^429</f>
        <v>4261101251131.7383</v>
      </c>
      <c r="I431" s="4">
        <f>SimOpsY1*(1+SimOpsGrowth)^429</f>
        <v>6.5450408068191222E+18</v>
      </c>
      <c r="J431" s="4">
        <f>TrainDevY1*(1+TrainDevGrowth)^429</f>
        <v>3.2725204034095611E+18</v>
      </c>
      <c r="K431" s="4">
        <f>AdminY1*(1+AdminGrowth)^429</f>
        <v>1436303418908576.8</v>
      </c>
      <c r="L431" s="4">
        <f t="shared" si="26"/>
        <v>9.819001774748844E+18</v>
      </c>
      <c r="M431" s="4">
        <f t="shared" si="27"/>
        <v>4.2896694127154807E+22</v>
      </c>
    </row>
    <row r="432" spans="1:13" x14ac:dyDescent="0.2">
      <c r="A432" s="3">
        <f>StartYear+430</f>
        <v>2455</v>
      </c>
      <c r="B432" s="4">
        <f>FacultyFTE*HoursPerWeek*WeeksPerYear*RatePerHour*(1+PracticeGrowth)^430</f>
        <v>372212614755555.31</v>
      </c>
      <c r="C432" s="4">
        <f>StudentsY1*(1+StudentGrowth)^430*CreditsPerStudent*TuitionPerCredit</f>
        <v>2326328842222220.5</v>
      </c>
      <c r="D432" s="4">
        <f>SimRevY1*(1+SimGrowth)^430</f>
        <v>3.1464774409852723E+22</v>
      </c>
      <c r="E432" s="4">
        <f>FacDevRevY1*(1+FacDevGrowth)^430</f>
        <v>1.5732387204926362E+22</v>
      </c>
      <c r="F432" s="4">
        <f t="shared" si="24"/>
        <v>4.7197163941107929E+22</v>
      </c>
      <c r="G432" s="4">
        <f t="shared" si="25"/>
        <v>4.719716431332054E+22</v>
      </c>
      <c r="H432" s="4">
        <f>SalaryFTECount*SalaryPerFTE*(1+SalaryGrowth)^430</f>
        <v>4431545301177.0078</v>
      </c>
      <c r="I432" s="4">
        <f>SimOpsY1*(1+SimOpsGrowth)^430</f>
        <v>7.0686440713646531E+18</v>
      </c>
      <c r="J432" s="4">
        <f>TrainDevY1*(1+TrainDevGrowth)^430</f>
        <v>3.5343220356823265E+18</v>
      </c>
      <c r="K432" s="4">
        <f>AdminY1*(1+AdminGrowth)^430</f>
        <v>1522481624043091.5</v>
      </c>
      <c r="L432" s="4">
        <f t="shared" si="26"/>
        <v>1.0604493020216324E+19</v>
      </c>
      <c r="M432" s="4">
        <f t="shared" si="27"/>
        <v>4.7186559820300326E+22</v>
      </c>
    </row>
    <row r="433" spans="1:13" x14ac:dyDescent="0.2">
      <c r="A433" s="3">
        <f>StartYear+431</f>
        <v>2456</v>
      </c>
      <c r="B433" s="4">
        <f>FacultyFTE*HoursPerWeek*WeeksPerYear*RatePerHour*(1+PracticeGrowth)^431</f>
        <v>390823245493333.12</v>
      </c>
      <c r="C433" s="4">
        <f>StudentsY1*(1+StudentGrowth)^431*CreditsPerStudent*TuitionPerCredit</f>
        <v>2442645284333332</v>
      </c>
      <c r="D433" s="4">
        <f>SimRevY1*(1+SimGrowth)^431</f>
        <v>3.4611251850837995E+22</v>
      </c>
      <c r="E433" s="4">
        <f>FacDevRevY1*(1+FacDevGrowth)^431</f>
        <v>1.7305625925418998E+22</v>
      </c>
      <c r="F433" s="4">
        <f t="shared" si="24"/>
        <v>5.1916880218902277E+22</v>
      </c>
      <c r="G433" s="4">
        <f t="shared" si="25"/>
        <v>5.1916880609725519E+22</v>
      </c>
      <c r="H433" s="4">
        <f>SalaryFTECount*SalaryPerFTE*(1+SalaryGrowth)^431</f>
        <v>4608807113224.0889</v>
      </c>
      <c r="I433" s="4">
        <f>SimOpsY1*(1+SimOpsGrowth)^431</f>
        <v>7.6341355970738258E+18</v>
      </c>
      <c r="J433" s="4">
        <f>TrainDevY1*(1+TrainDevGrowth)^431</f>
        <v>3.8170677985369129E+18</v>
      </c>
      <c r="K433" s="4">
        <f>AdminY1*(1+AdminGrowth)^431</f>
        <v>1613830521485677.5</v>
      </c>
      <c r="L433" s="4">
        <f t="shared" si="26"/>
        <v>1.1452821834939337E+19</v>
      </c>
      <c r="M433" s="4">
        <f t="shared" si="27"/>
        <v>5.1905427787890578E+22</v>
      </c>
    </row>
    <row r="434" spans="1:13" x14ac:dyDescent="0.2">
      <c r="A434" s="3">
        <f>StartYear+432</f>
        <v>2457</v>
      </c>
      <c r="B434" s="4">
        <f>FacultyFTE*HoursPerWeek*WeeksPerYear*RatePerHour*(1+PracticeGrowth)^432</f>
        <v>410364407767999.75</v>
      </c>
      <c r="C434" s="4">
        <f>StudentsY1*(1+StudentGrowth)^432*CreditsPerStudent*TuitionPerCredit</f>
        <v>2564777548549998.5</v>
      </c>
      <c r="D434" s="4">
        <f>SimRevY1*(1+SimGrowth)^432</f>
        <v>3.8072377035921795E+22</v>
      </c>
      <c r="E434" s="4">
        <f>FacDevRevY1*(1+FacDevGrowth)^432</f>
        <v>1.9036188517960897E+22</v>
      </c>
      <c r="F434" s="4">
        <f t="shared" si="24"/>
        <v>5.7108568118660237E+22</v>
      </c>
      <c r="G434" s="4">
        <f t="shared" si="25"/>
        <v>5.7108568529024649E+22</v>
      </c>
      <c r="H434" s="4">
        <f>SalaryFTECount*SalaryPerFTE*(1+SalaryGrowth)^432</f>
        <v>4793159397753.0527</v>
      </c>
      <c r="I434" s="4">
        <f>SimOpsY1*(1+SimOpsGrowth)^432</f>
        <v>8.2448664448397312E+18</v>
      </c>
      <c r="J434" s="4">
        <f>TrainDevY1*(1+TrainDevGrowth)^432</f>
        <v>4.1224332224198656E+18</v>
      </c>
      <c r="K434" s="4">
        <f>AdminY1*(1+AdminGrowth)^432</f>
        <v>1710660352774817.5</v>
      </c>
      <c r="L434" s="4">
        <f t="shared" si="26"/>
        <v>1.2369015120771768E+19</v>
      </c>
      <c r="M434" s="4">
        <f t="shared" si="27"/>
        <v>5.7096199513903878E+22</v>
      </c>
    </row>
    <row r="435" spans="1:13" x14ac:dyDescent="0.2">
      <c r="A435" s="3">
        <f>StartYear+433</f>
        <v>2458</v>
      </c>
      <c r="B435" s="4">
        <f>FacultyFTE*HoursPerWeek*WeeksPerYear*RatePerHour*(1+PracticeGrowth)^433</f>
        <v>430882628156399.81</v>
      </c>
      <c r="C435" s="4">
        <f>StudentsY1*(1+StudentGrowth)^433*CreditsPerStudent*TuitionPerCredit</f>
        <v>2693016425977499</v>
      </c>
      <c r="D435" s="4">
        <f>SimRevY1*(1+SimGrowth)^433</f>
        <v>4.1879614739513986E+22</v>
      </c>
      <c r="E435" s="4">
        <f>FacDevRevY1*(1+FacDevGrowth)^433</f>
        <v>2.0939807369756993E+22</v>
      </c>
      <c r="F435" s="4">
        <f t="shared" si="24"/>
        <v>6.2819424802287401E+22</v>
      </c>
      <c r="G435" s="4">
        <f t="shared" si="25"/>
        <v>6.281942523317003E+22</v>
      </c>
      <c r="H435" s="4">
        <f>SalaryFTECount*SalaryPerFTE*(1+SalaryGrowth)^433</f>
        <v>4984885773663.1748</v>
      </c>
      <c r="I435" s="4">
        <f>SimOpsY1*(1+SimOpsGrowth)^433</f>
        <v>8.9044557604269117E+18</v>
      </c>
      <c r="J435" s="4">
        <f>TrainDevY1*(1+TrainDevGrowth)^433</f>
        <v>4.4522278802134559E+18</v>
      </c>
      <c r="K435" s="4">
        <f>AdminY1*(1+AdminGrowth)^433</f>
        <v>1813299973941306.8</v>
      </c>
      <c r="L435" s="4">
        <f t="shared" si="26"/>
        <v>1.3358501925500082E+19</v>
      </c>
      <c r="M435" s="4">
        <f t="shared" si="27"/>
        <v>6.2806066731244526E+22</v>
      </c>
    </row>
    <row r="436" spans="1:13" x14ac:dyDescent="0.2">
      <c r="A436" s="3">
        <f>StartYear+434</f>
        <v>2459</v>
      </c>
      <c r="B436" s="4">
        <f>FacultyFTE*HoursPerWeek*WeeksPerYear*RatePerHour*(1+PracticeGrowth)^434</f>
        <v>452426759564219.81</v>
      </c>
      <c r="C436" s="4">
        <f>StudentsY1*(1+StudentGrowth)^434*CreditsPerStudent*TuitionPerCredit</f>
        <v>2827667247276374</v>
      </c>
      <c r="D436" s="4">
        <f>SimRevY1*(1+SimGrowth)^434</f>
        <v>4.6067576213465385E+22</v>
      </c>
      <c r="E436" s="4">
        <f>FacDevRevY1*(1+FacDevGrowth)^434</f>
        <v>2.3033788106732693E+22</v>
      </c>
      <c r="F436" s="4">
        <f t="shared" si="24"/>
        <v>6.9101367147865328E+22</v>
      </c>
      <c r="G436" s="4">
        <f t="shared" si="25"/>
        <v>6.9101367600292091E+22</v>
      </c>
      <c r="H436" s="4">
        <f>SalaryFTECount*SalaryPerFTE*(1+SalaryGrowth)^434</f>
        <v>5184281204609.7021</v>
      </c>
      <c r="I436" s="4">
        <f>SimOpsY1*(1+SimOpsGrowth)^434</f>
        <v>9.6168122212610642E+18</v>
      </c>
      <c r="J436" s="4">
        <f>TrainDevY1*(1+TrainDevGrowth)^434</f>
        <v>4.8084061106305321E+18</v>
      </c>
      <c r="K436" s="4">
        <f>AdminY1*(1+AdminGrowth)^434</f>
        <v>1922097972377785</v>
      </c>
      <c r="L436" s="4">
        <f t="shared" si="26"/>
        <v>1.4427145614145178E+19</v>
      </c>
      <c r="M436" s="4">
        <f t="shared" si="27"/>
        <v>6.9086940454677945E+22</v>
      </c>
    </row>
    <row r="437" spans="1:13" x14ac:dyDescent="0.2">
      <c r="A437" s="3">
        <f>StartYear+435</f>
        <v>2460</v>
      </c>
      <c r="B437" s="4">
        <f>FacultyFTE*HoursPerWeek*WeeksPerYear*RatePerHour*(1+PracticeGrowth)^435</f>
        <v>475048097542430.75</v>
      </c>
      <c r="C437" s="4">
        <f>StudentsY1*(1+StudentGrowth)^435*CreditsPerStudent*TuitionPerCredit</f>
        <v>2969050609640192.5</v>
      </c>
      <c r="D437" s="4">
        <f>SimRevY1*(1+SimGrowth)^435</f>
        <v>5.0674333834811934E+22</v>
      </c>
      <c r="E437" s="4">
        <f>FacDevRevY1*(1+FacDevGrowth)^435</f>
        <v>2.5337166917405967E+22</v>
      </c>
      <c r="F437" s="4">
        <f t="shared" si="24"/>
        <v>7.6011503721268508E+22</v>
      </c>
      <c r="G437" s="4">
        <f t="shared" si="25"/>
        <v>7.6011504196316603E+22</v>
      </c>
      <c r="H437" s="4">
        <f>SalaryFTECount*SalaryPerFTE*(1+SalaryGrowth)^435</f>
        <v>5391652452794.0908</v>
      </c>
      <c r="I437" s="4">
        <f>SimOpsY1*(1+SimOpsGrowth)^435</f>
        <v>1.0386157198961951E+19</v>
      </c>
      <c r="J437" s="4">
        <f>TrainDevY1*(1+TrainDevGrowth)^435</f>
        <v>5.1930785994809754E+18</v>
      </c>
      <c r="K437" s="4">
        <f>AdminY1*(1+AdminGrowth)^435</f>
        <v>2037423850720452.5</v>
      </c>
      <c r="L437" s="4">
        <f t="shared" si="26"/>
        <v>1.55812786139461E+19</v>
      </c>
      <c r="M437" s="4">
        <f t="shared" si="27"/>
        <v>7.5995922917702651E+22</v>
      </c>
    </row>
    <row r="438" spans="1:13" x14ac:dyDescent="0.2">
      <c r="A438" s="3">
        <f>StartYear+436</f>
        <v>2461</v>
      </c>
      <c r="B438" s="4">
        <f>FacultyFTE*HoursPerWeek*WeeksPerYear*RatePerHour*(1+PracticeGrowth)^436</f>
        <v>498800502419552.31</v>
      </c>
      <c r="C438" s="4">
        <f>StudentsY1*(1+StudentGrowth)^436*CreditsPerStudent*TuitionPerCredit</f>
        <v>3117503140122202</v>
      </c>
      <c r="D438" s="4">
        <f>SimRevY1*(1+SimGrowth)^436</f>
        <v>5.5741767218293121E+22</v>
      </c>
      <c r="E438" s="4">
        <f>FacDevRevY1*(1+FacDevGrowth)^436</f>
        <v>2.7870883609146561E+22</v>
      </c>
      <c r="F438" s="4">
        <f t="shared" si="24"/>
        <v>8.361265394494283E+22</v>
      </c>
      <c r="G438" s="4">
        <f t="shared" si="25"/>
        <v>8.3612654443743337E+22</v>
      </c>
      <c r="H438" s="4">
        <f>SalaryFTECount*SalaryPerFTE*(1+SalaryGrowth)^436</f>
        <v>5607318550905.8535</v>
      </c>
      <c r="I438" s="4">
        <f>SimOpsY1*(1+SimOpsGrowth)^436</f>
        <v>1.1217049774878906E+19</v>
      </c>
      <c r="J438" s="4">
        <f>TrainDevY1*(1+TrainDevGrowth)^436</f>
        <v>5.6085248874394532E+18</v>
      </c>
      <c r="K438" s="4">
        <f>AdminY1*(1+AdminGrowth)^436</f>
        <v>2159669281763679.5</v>
      </c>
      <c r="L438" s="4">
        <f t="shared" si="26"/>
        <v>1.6827739938918674E+19</v>
      </c>
      <c r="M438" s="4">
        <f t="shared" si="27"/>
        <v>8.3595826703804416E+22</v>
      </c>
    </row>
    <row r="439" spans="1:13" x14ac:dyDescent="0.2">
      <c r="A439" s="3">
        <f>StartYear+437</f>
        <v>2462</v>
      </c>
      <c r="B439" s="4">
        <f>FacultyFTE*HoursPerWeek*WeeksPerYear*RatePerHour*(1+PracticeGrowth)^437</f>
        <v>523740527540529.88</v>
      </c>
      <c r="C439" s="4">
        <f>StudentsY1*(1+StudentGrowth)^437*CreditsPerStudent*TuitionPerCredit</f>
        <v>3273378297128311.5</v>
      </c>
      <c r="D439" s="4">
        <f>SimRevY1*(1+SimGrowth)^437</f>
        <v>6.1315943940122441E+22</v>
      </c>
      <c r="E439" s="4">
        <f>FacDevRevY1*(1+FacDevGrowth)^437</f>
        <v>3.065797197006122E+22</v>
      </c>
      <c r="F439" s="4">
        <f t="shared" si="24"/>
        <v>9.1973919183561961E+22</v>
      </c>
      <c r="G439" s="4">
        <f t="shared" si="25"/>
        <v>9.1973919707302487E+22</v>
      </c>
      <c r="H439" s="4">
        <f>SalaryFTECount*SalaryPerFTE*(1+SalaryGrowth)^437</f>
        <v>5831611292942.0889</v>
      </c>
      <c r="I439" s="4">
        <f>SimOpsY1*(1+SimOpsGrowth)^437</f>
        <v>1.2114413756869218E+19</v>
      </c>
      <c r="J439" s="4">
        <f>TrainDevY1*(1+TrainDevGrowth)^437</f>
        <v>6.0572068784346092E+18</v>
      </c>
      <c r="K439" s="4">
        <f>AdminY1*(1+AdminGrowth)^437</f>
        <v>2289249438669501.5</v>
      </c>
      <c r="L439" s="4">
        <f t="shared" si="26"/>
        <v>1.817391571635379E+19</v>
      </c>
      <c r="M439" s="4">
        <f t="shared" si="27"/>
        <v>9.1955745791586135E+22</v>
      </c>
    </row>
    <row r="440" spans="1:13" x14ac:dyDescent="0.2">
      <c r="A440" s="3">
        <f>StartYear+438</f>
        <v>2463</v>
      </c>
      <c r="B440" s="4">
        <f>FacultyFTE*HoursPerWeek*WeeksPerYear*RatePerHour*(1+PracticeGrowth)^438</f>
        <v>549927553917556.31</v>
      </c>
      <c r="C440" s="4">
        <f>StudentsY1*(1+StudentGrowth)^438*CreditsPerStudent*TuitionPerCredit</f>
        <v>3437047211984727</v>
      </c>
      <c r="D440" s="4">
        <f>SimRevY1*(1+SimGrowth)^438</f>
        <v>6.7447538334134679E+22</v>
      </c>
      <c r="E440" s="4">
        <f>FacDevRevY1*(1+FacDevGrowth)^438</f>
        <v>3.372376916706734E+22</v>
      </c>
      <c r="F440" s="4">
        <f t="shared" si="24"/>
        <v>1.0117131093824922E+23</v>
      </c>
      <c r="G440" s="4">
        <f t="shared" si="25"/>
        <v>1.0117131148817679E+23</v>
      </c>
      <c r="H440" s="4">
        <f>SalaryFTECount*SalaryPerFTE*(1+SalaryGrowth)^438</f>
        <v>6064875744659.7725</v>
      </c>
      <c r="I440" s="4">
        <f>SimOpsY1*(1+SimOpsGrowth)^438</f>
        <v>1.308356685741876E+19</v>
      </c>
      <c r="J440" s="4">
        <f>TrainDevY1*(1+TrainDevGrowth)^438</f>
        <v>6.5417834287093801E+18</v>
      </c>
      <c r="K440" s="4">
        <f>AdminY1*(1+AdminGrowth)^438</f>
        <v>2426604404989671</v>
      </c>
      <c r="L440" s="4">
        <f t="shared" si="26"/>
        <v>1.9627782955408876E+19</v>
      </c>
      <c r="M440" s="4">
        <f t="shared" si="27"/>
        <v>1.0115168370522137E+23</v>
      </c>
    </row>
    <row r="441" spans="1:13" x14ac:dyDescent="0.2">
      <c r="A441" s="3">
        <f>StartYear+439</f>
        <v>2464</v>
      </c>
      <c r="B441" s="4">
        <f>FacultyFTE*HoursPerWeek*WeeksPerYear*RatePerHour*(1+PracticeGrowth)^439</f>
        <v>577423931613434.25</v>
      </c>
      <c r="C441" s="4">
        <f>StudentsY1*(1+StudentGrowth)^439*CreditsPerStudent*TuitionPerCredit</f>
        <v>3608899572583964</v>
      </c>
      <c r="D441" s="4">
        <f>SimRevY1*(1+SimGrowth)^439</f>
        <v>7.4192292167548156E+22</v>
      </c>
      <c r="E441" s="4">
        <f>FacDevRevY1*(1+FacDevGrowth)^439</f>
        <v>3.7096146083774078E+22</v>
      </c>
      <c r="F441" s="4">
        <f t="shared" si="24"/>
        <v>1.1128844186022181E+23</v>
      </c>
      <c r="G441" s="4">
        <f t="shared" si="25"/>
        <v>1.1128844243764573E+23</v>
      </c>
      <c r="H441" s="4">
        <f>SalaryFTECount*SalaryPerFTE*(1+SalaryGrowth)^439</f>
        <v>6307470774446.1641</v>
      </c>
      <c r="I441" s="4">
        <f>SimOpsY1*(1+SimOpsGrowth)^439</f>
        <v>1.413025220601226E+19</v>
      </c>
      <c r="J441" s="4">
        <f>TrainDevY1*(1+TrainDevGrowth)^439</f>
        <v>7.0651261030061302E+18</v>
      </c>
      <c r="K441" s="4">
        <f>AdminY1*(1+AdminGrowth)^439</f>
        <v>2572200669289052</v>
      </c>
      <c r="L441" s="4">
        <f t="shared" si="26"/>
        <v>2.1197956817158455E+19</v>
      </c>
      <c r="M441" s="4">
        <f t="shared" si="27"/>
        <v>1.1126724448082857E+23</v>
      </c>
    </row>
    <row r="442" spans="1:13" x14ac:dyDescent="0.2">
      <c r="A442" s="3">
        <f>StartYear+440</f>
        <v>2465</v>
      </c>
      <c r="B442" s="4">
        <f>FacultyFTE*HoursPerWeek*WeeksPerYear*RatePerHour*(1+PracticeGrowth)^440</f>
        <v>606295128194105.88</v>
      </c>
      <c r="C442" s="4">
        <f>StudentsY1*(1+StudentGrowth)^440*CreditsPerStudent*TuitionPerCredit</f>
        <v>3789344551213162</v>
      </c>
      <c r="D442" s="4">
        <f>SimRevY1*(1+SimGrowth)^440</f>
        <v>8.1611521384302965E+22</v>
      </c>
      <c r="E442" s="4">
        <f>FacDevRevY1*(1+FacDevGrowth)^440</f>
        <v>4.0805760692151483E+22</v>
      </c>
      <c r="F442" s="4">
        <f t="shared" si="24"/>
        <v>1.22417285865799E+23</v>
      </c>
      <c r="G442" s="4">
        <f t="shared" si="25"/>
        <v>1.2241728647209413E+23</v>
      </c>
      <c r="H442" s="4">
        <f>SalaryFTECount*SalaryPerFTE*(1+SalaryGrowth)^440</f>
        <v>6559769605424.0107</v>
      </c>
      <c r="I442" s="4">
        <f>SimOpsY1*(1+SimOpsGrowth)^440</f>
        <v>1.5260672382493239E+19</v>
      </c>
      <c r="J442" s="4">
        <f>TrainDevY1*(1+TrainDevGrowth)^440</f>
        <v>7.6303361912466196E+18</v>
      </c>
      <c r="K442" s="4">
        <f>AdminY1*(1+AdminGrowth)^440</f>
        <v>2726532709446394.5</v>
      </c>
      <c r="L442" s="4">
        <f t="shared" si="26"/>
        <v>2.289374166621891E+19</v>
      </c>
      <c r="M442" s="4">
        <f t="shared" si="27"/>
        <v>1.2239439273042791E+23</v>
      </c>
    </row>
    <row r="443" spans="1:13" x14ac:dyDescent="0.2">
      <c r="A443" s="3">
        <f>StartYear+441</f>
        <v>2466</v>
      </c>
      <c r="B443" s="4">
        <f>FacultyFTE*HoursPerWeek*WeeksPerYear*RatePerHour*(1+PracticeGrowth)^441</f>
        <v>636609884603811.25</v>
      </c>
      <c r="C443" s="4">
        <f>StudentsY1*(1+StudentGrowth)^441*CreditsPerStudent*TuitionPerCredit</f>
        <v>3978811778773820.5</v>
      </c>
      <c r="D443" s="4">
        <f>SimRevY1*(1+SimGrowth)^441</f>
        <v>8.9772673522733289E+22</v>
      </c>
      <c r="E443" s="4">
        <f>FacDevRevY1*(1+FacDevGrowth)^441</f>
        <v>4.4886336761366644E+22</v>
      </c>
      <c r="F443" s="4">
        <f t="shared" si="24"/>
        <v>1.3465901426291171E+23</v>
      </c>
      <c r="G443" s="4">
        <f t="shared" si="25"/>
        <v>1.3465901489952159E+23</v>
      </c>
      <c r="H443" s="4">
        <f>SalaryFTECount*SalaryPerFTE*(1+SalaryGrowth)^441</f>
        <v>6822160389640.9727</v>
      </c>
      <c r="I443" s="4">
        <f>SimOpsY1*(1+SimOpsGrowth)^441</f>
        <v>1.6481526173092702E+19</v>
      </c>
      <c r="J443" s="4">
        <f>TrainDevY1*(1+TrainDevGrowth)^441</f>
        <v>8.2407630865463511E+18</v>
      </c>
      <c r="K443" s="4">
        <f>AdminY1*(1+AdminGrowth)^441</f>
        <v>2890124672013178</v>
      </c>
      <c r="L443" s="4">
        <f t="shared" si="26"/>
        <v>2.4725186206471455E+19</v>
      </c>
      <c r="M443" s="4">
        <f t="shared" si="27"/>
        <v>1.3463428971331512E+23</v>
      </c>
    </row>
    <row r="444" spans="1:13" x14ac:dyDescent="0.2">
      <c r="A444" s="3">
        <f>StartYear+442</f>
        <v>2467</v>
      </c>
      <c r="B444" s="4">
        <f>FacultyFTE*HoursPerWeek*WeeksPerYear*RatePerHour*(1+PracticeGrowth)^442</f>
        <v>668440378834001.88</v>
      </c>
      <c r="C444" s="4">
        <f>StudentsY1*(1+StudentGrowth)^442*CreditsPerStudent*TuitionPerCredit</f>
        <v>4177752367712512</v>
      </c>
      <c r="D444" s="4">
        <f>SimRevY1*(1+SimGrowth)^442</f>
        <v>9.8749940875006612E+22</v>
      </c>
      <c r="E444" s="4">
        <f>FacDevRevY1*(1+FacDevGrowth)^442</f>
        <v>4.9374970437503306E+22</v>
      </c>
      <c r="F444" s="4">
        <f t="shared" si="24"/>
        <v>1.4812491549026229E+23</v>
      </c>
      <c r="G444" s="4">
        <f t="shared" si="25"/>
        <v>1.4812491615870266E+23</v>
      </c>
      <c r="H444" s="4">
        <f>SalaryFTECount*SalaryPerFTE*(1+SalaryGrowth)^442</f>
        <v>7095046805226.6104</v>
      </c>
      <c r="I444" s="4">
        <f>SimOpsY1*(1+SimOpsGrowth)^442</f>
        <v>1.7800048266940117E+19</v>
      </c>
      <c r="J444" s="4">
        <f>TrainDevY1*(1+TrainDevGrowth)^442</f>
        <v>8.9000241334700585E+18</v>
      </c>
      <c r="K444" s="4">
        <f>AdminY1*(1+AdminGrowth)^442</f>
        <v>3063532152333968.5</v>
      </c>
      <c r="L444" s="4">
        <f t="shared" si="26"/>
        <v>2.6703143027609313E+19</v>
      </c>
      <c r="M444" s="4">
        <f t="shared" si="27"/>
        <v>1.4809821301567505E+23</v>
      </c>
    </row>
    <row r="445" spans="1:13" x14ac:dyDescent="0.2">
      <c r="A445" s="3">
        <f>StartYear+443</f>
        <v>2468</v>
      </c>
      <c r="B445" s="4">
        <f>FacultyFTE*HoursPerWeek*WeeksPerYear*RatePerHour*(1+PracticeGrowth)^443</f>
        <v>701862397775702</v>
      </c>
      <c r="C445" s="4">
        <f>StudentsY1*(1+StudentGrowth)^443*CreditsPerStudent*TuitionPerCredit</f>
        <v>4386639986098137.5</v>
      </c>
      <c r="D445" s="4">
        <f>SimRevY1*(1+SimGrowth)^443</f>
        <v>1.086249349625073E+23</v>
      </c>
      <c r="E445" s="4">
        <f>FacDevRevY1*(1+FacDevGrowth)^443</f>
        <v>5.4312467481253649E+22</v>
      </c>
      <c r="F445" s="4">
        <f t="shared" si="24"/>
        <v>1.6293740683040094E+23</v>
      </c>
      <c r="G445" s="4">
        <f t="shared" si="25"/>
        <v>1.6293740753226332E+23</v>
      </c>
      <c r="H445" s="4">
        <f>SalaryFTECount*SalaryPerFTE*(1+SalaryGrowth)^443</f>
        <v>7378848677435.6748</v>
      </c>
      <c r="I445" s="4">
        <f>SimOpsY1*(1+SimOpsGrowth)^443</f>
        <v>1.9224052128295326E+19</v>
      </c>
      <c r="J445" s="4">
        <f>TrainDevY1*(1+TrainDevGrowth)^443</f>
        <v>9.6120260641476628E+18</v>
      </c>
      <c r="K445" s="4">
        <f>AdminY1*(1+AdminGrowth)^443</f>
        <v>3247344081474007.5</v>
      </c>
      <c r="L445" s="4">
        <f t="shared" si="26"/>
        <v>2.8839332915373142E+19</v>
      </c>
      <c r="M445" s="4">
        <f t="shared" si="27"/>
        <v>1.6290856819934795E+23</v>
      </c>
    </row>
    <row r="446" spans="1:13" x14ac:dyDescent="0.2">
      <c r="A446" s="3">
        <f>StartYear+444</f>
        <v>2469</v>
      </c>
      <c r="B446" s="4">
        <f>FacultyFTE*HoursPerWeek*WeeksPerYear*RatePerHour*(1+PracticeGrowth)^444</f>
        <v>736955517664487</v>
      </c>
      <c r="C446" s="4">
        <f>StudentsY1*(1+StudentGrowth)^444*CreditsPerStudent*TuitionPerCredit</f>
        <v>4605971985403044</v>
      </c>
      <c r="D446" s="4">
        <f>SimRevY1*(1+SimGrowth)^444</f>
        <v>1.1948742845875802E+23</v>
      </c>
      <c r="E446" s="4">
        <f>FacDevRevY1*(1+FacDevGrowth)^444</f>
        <v>5.9743714229379008E+22</v>
      </c>
      <c r="F446" s="4">
        <f t="shared" si="24"/>
        <v>1.7923114729410901E+23</v>
      </c>
      <c r="G446" s="4">
        <f t="shared" si="25"/>
        <v>1.7923114803106453E+23</v>
      </c>
      <c r="H446" s="4">
        <f>SalaryFTECount*SalaryPerFTE*(1+SalaryGrowth)^444</f>
        <v>7674002624533.1045</v>
      </c>
      <c r="I446" s="4">
        <f>SimOpsY1*(1+SimOpsGrowth)^444</f>
        <v>2.0761976298558951E+19</v>
      </c>
      <c r="J446" s="4">
        <f>TrainDevY1*(1+TrainDevGrowth)^444</f>
        <v>1.0380988149279476E+19</v>
      </c>
      <c r="K446" s="4">
        <f>AdminY1*(1+AdminGrowth)^444</f>
        <v>3442184726362448</v>
      </c>
      <c r="L446" s="4">
        <f t="shared" si="26"/>
        <v>3.1146414306567414E+19</v>
      </c>
      <c r="M446" s="4">
        <f t="shared" si="27"/>
        <v>1.7920000161675796E+23</v>
      </c>
    </row>
    <row r="447" spans="1:13" x14ac:dyDescent="0.2">
      <c r="A447" s="3">
        <f>StartYear+445</f>
        <v>2470</v>
      </c>
      <c r="B447" s="4">
        <f>FacultyFTE*HoursPerWeek*WeeksPerYear*RatePerHour*(1+PracticeGrowth)^445</f>
        <v>773803293547711.38</v>
      </c>
      <c r="C447" s="4">
        <f>StudentsY1*(1+StudentGrowth)^445*CreditsPerStudent*TuitionPerCredit</f>
        <v>4836270584673196</v>
      </c>
      <c r="D447" s="4">
        <f>SimRevY1*(1+SimGrowth)^445</f>
        <v>1.3143617130463383E+23</v>
      </c>
      <c r="E447" s="4">
        <f>FacDevRevY1*(1+FacDevGrowth)^445</f>
        <v>6.5718085652316915E+22</v>
      </c>
      <c r="F447" s="4">
        <f t="shared" si="24"/>
        <v>1.9715426179322131E+23</v>
      </c>
      <c r="G447" s="4">
        <f t="shared" si="25"/>
        <v>1.971542625670246E+23</v>
      </c>
      <c r="H447" s="4">
        <f>SalaryFTECount*SalaryPerFTE*(1+SalaryGrowth)^445</f>
        <v>7980962729514.4287</v>
      </c>
      <c r="I447" s="4">
        <f>SimOpsY1*(1+SimOpsGrowth)^445</f>
        <v>2.242293440244367E+19</v>
      </c>
      <c r="J447" s="4">
        <f>TrainDevY1*(1+TrainDevGrowth)^445</f>
        <v>1.1211467201221835E+19</v>
      </c>
      <c r="K447" s="4">
        <f>AdminY1*(1+AdminGrowth)^445</f>
        <v>3648715809944195.5</v>
      </c>
      <c r="L447" s="4">
        <f t="shared" si="26"/>
        <v>3.363805830043818E+19</v>
      </c>
      <c r="M447" s="4">
        <f t="shared" si="27"/>
        <v>1.9712062450872415E+23</v>
      </c>
    </row>
    <row r="448" spans="1:13" x14ac:dyDescent="0.2">
      <c r="A448" s="3">
        <f>StartYear+446</f>
        <v>2471</v>
      </c>
      <c r="B448" s="4">
        <f>FacultyFTE*HoursPerWeek*WeeksPerYear*RatePerHour*(1+PracticeGrowth)^446</f>
        <v>812493458225096.75</v>
      </c>
      <c r="C448" s="4">
        <f>StudentsY1*(1+StudentGrowth)^446*CreditsPerStudent*TuitionPerCredit</f>
        <v>5078084113906855</v>
      </c>
      <c r="D448" s="4">
        <f>SimRevY1*(1+SimGrowth)^446</f>
        <v>1.4457978843509725E+23</v>
      </c>
      <c r="E448" s="4">
        <f>FacDevRevY1*(1+FacDevGrowth)^446</f>
        <v>7.2289894217548623E+22</v>
      </c>
      <c r="F448" s="4">
        <f t="shared" si="24"/>
        <v>2.1686968773073E+23</v>
      </c>
      <c r="G448" s="4">
        <f t="shared" si="25"/>
        <v>2.1686968854322346E+23</v>
      </c>
      <c r="H448" s="4">
        <f>SalaryFTECount*SalaryPerFTE*(1+SalaryGrowth)^446</f>
        <v>8300201238695.0049</v>
      </c>
      <c r="I448" s="4">
        <f>SimOpsY1*(1+SimOpsGrowth)^446</f>
        <v>2.4216769154639167E+19</v>
      </c>
      <c r="J448" s="4">
        <f>TrainDevY1*(1+TrainDevGrowth)^446</f>
        <v>1.2108384577319584E+19</v>
      </c>
      <c r="K448" s="4">
        <f>AdminY1*(1+AdminGrowth)^446</f>
        <v>3867638758540847</v>
      </c>
      <c r="L448" s="4">
        <f t="shared" si="26"/>
        <v>3.6329029670918529E+19</v>
      </c>
      <c r="M448" s="4">
        <f t="shared" si="27"/>
        <v>2.1683335951355253E+23</v>
      </c>
    </row>
    <row r="449" spans="1:13" x14ac:dyDescent="0.2">
      <c r="A449" s="3">
        <f>StartYear+447</f>
        <v>2472</v>
      </c>
      <c r="B449" s="4">
        <f>FacultyFTE*HoursPerWeek*WeeksPerYear*RatePerHour*(1+PracticeGrowth)^447</f>
        <v>853118131136351.88</v>
      </c>
      <c r="C449" s="4">
        <f>StudentsY1*(1+StudentGrowth)^447*CreditsPerStudent*TuitionPerCredit</f>
        <v>5331988319602199</v>
      </c>
      <c r="D449" s="4">
        <f>SimRevY1*(1+SimGrowth)^447</f>
        <v>1.5903776727860695E+23</v>
      </c>
      <c r="E449" s="4">
        <f>FacDevRevY1*(1+FacDevGrowth)^447</f>
        <v>7.9518883639303476E+22</v>
      </c>
      <c r="F449" s="4">
        <f t="shared" si="24"/>
        <v>2.3855665624989874E+23</v>
      </c>
      <c r="G449" s="4">
        <f t="shared" si="25"/>
        <v>2.3855665710301688E+23</v>
      </c>
      <c r="H449" s="4">
        <f>SalaryFTECount*SalaryPerFTE*(1+SalaryGrowth)^447</f>
        <v>8632209288242.8037</v>
      </c>
      <c r="I449" s="4">
        <f>SimOpsY1*(1+SimOpsGrowth)^447</f>
        <v>2.6154110687010308E+19</v>
      </c>
      <c r="J449" s="4">
        <f>TrainDevY1*(1+TrainDevGrowth)^447</f>
        <v>1.3077055343505154E+19</v>
      </c>
      <c r="K449" s="4">
        <f>AdminY1*(1+AdminGrowth)^447</f>
        <v>4099697084053299.5</v>
      </c>
      <c r="L449" s="4">
        <f t="shared" si="26"/>
        <v>3.9235274359808803E+19</v>
      </c>
      <c r="M449" s="4">
        <f t="shared" si="27"/>
        <v>2.3851742182865706E+23</v>
      </c>
    </row>
    <row r="450" spans="1:13" x14ac:dyDescent="0.2">
      <c r="A450" s="3">
        <f>StartYear+448</f>
        <v>2473</v>
      </c>
      <c r="B450" s="4">
        <f>FacultyFTE*HoursPerWeek*WeeksPerYear*RatePerHour*(1+PracticeGrowth)^448</f>
        <v>895774037693169.38</v>
      </c>
      <c r="C450" s="4">
        <f>StudentsY1*(1+StudentGrowth)^448*CreditsPerStudent*TuitionPerCredit</f>
        <v>5598587735582309</v>
      </c>
      <c r="D450" s="4">
        <f>SimRevY1*(1+SimGrowth)^448</f>
        <v>1.7494154400646766E+23</v>
      </c>
      <c r="E450" s="4">
        <f>FacDevRevY1*(1+FacDevGrowth)^448</f>
        <v>8.7470772003233832E+22</v>
      </c>
      <c r="F450" s="4">
        <f t="shared" ref="F450:F513" si="28">C450+D450+E450</f>
        <v>2.6241232160828925E+23</v>
      </c>
      <c r="G450" s="4">
        <f t="shared" ref="G450:G513" si="29">B450+F450</f>
        <v>2.6241232250406329E+23</v>
      </c>
      <c r="H450" s="4">
        <f>SalaryFTECount*SalaryPerFTE*(1+SalaryGrowth)^448</f>
        <v>8977497659772.5176</v>
      </c>
      <c r="I450" s="4">
        <f>SimOpsY1*(1+SimOpsGrowth)^448</f>
        <v>2.8246439541971128E+19</v>
      </c>
      <c r="J450" s="4">
        <f>TrainDevY1*(1+TrainDevGrowth)^448</f>
        <v>1.4123219770985564E+19</v>
      </c>
      <c r="K450" s="4">
        <f>AdminY1*(1+AdminGrowth)^448</f>
        <v>4345678909096495.5</v>
      </c>
      <c r="L450" s="4">
        <f t="shared" ref="L450:L513" si="30">SUM(H450:K450)</f>
        <v>4.2374013969363452E+19</v>
      </c>
      <c r="M450" s="4">
        <f t="shared" ref="M450:M513" si="31">G450-L450</f>
        <v>2.6236994849009392E+23</v>
      </c>
    </row>
    <row r="451" spans="1:13" x14ac:dyDescent="0.2">
      <c r="A451" s="3">
        <f>StartYear+449</f>
        <v>2474</v>
      </c>
      <c r="B451" s="4">
        <f>FacultyFTE*HoursPerWeek*WeeksPerYear*RatePerHour*(1+PracticeGrowth)^449</f>
        <v>940562739577828</v>
      </c>
      <c r="C451" s="4">
        <f>StudentsY1*(1+StudentGrowth)^449*CreditsPerStudent*TuitionPerCredit</f>
        <v>5878517122361425</v>
      </c>
      <c r="D451" s="4">
        <f>SimRevY1*(1+SimGrowth)^449</f>
        <v>1.9243569840711444E+23</v>
      </c>
      <c r="E451" s="4">
        <f>FacDevRevY1*(1+FacDevGrowth)^449</f>
        <v>9.6217849203557222E+22</v>
      </c>
      <c r="F451" s="4">
        <f t="shared" si="28"/>
        <v>2.8865355348918877E+23</v>
      </c>
      <c r="G451" s="4">
        <f t="shared" si="29"/>
        <v>2.8865355442975151E+23</v>
      </c>
      <c r="H451" s="4">
        <f>SalaryFTECount*SalaryPerFTE*(1+SalaryGrowth)^449</f>
        <v>9336597566163.4199</v>
      </c>
      <c r="I451" s="4">
        <f>SimOpsY1*(1+SimOpsGrowth)^449</f>
        <v>3.0506154705328824E+19</v>
      </c>
      <c r="J451" s="4">
        <f>TrainDevY1*(1+TrainDevGrowth)^449</f>
        <v>1.5253077352664412E+19</v>
      </c>
      <c r="K451" s="4">
        <f>AdminY1*(1+AdminGrowth)^449</f>
        <v>4606419643642286</v>
      </c>
      <c r="L451" s="4">
        <f t="shared" si="30"/>
        <v>4.5763847814234448E+19</v>
      </c>
      <c r="M451" s="4">
        <f t="shared" si="31"/>
        <v>2.8860779058193729E+23</v>
      </c>
    </row>
    <row r="452" spans="1:13" x14ac:dyDescent="0.2">
      <c r="A452" s="3">
        <f>StartYear+450</f>
        <v>2475</v>
      </c>
      <c r="B452" s="4">
        <f>FacultyFTE*HoursPerWeek*WeeksPerYear*RatePerHour*(1+PracticeGrowth)^450</f>
        <v>987590876556719.25</v>
      </c>
      <c r="C452" s="4">
        <f>StudentsY1*(1+StudentGrowth)^450*CreditsPerStudent*TuitionPerCredit</f>
        <v>6172442978479496</v>
      </c>
      <c r="D452" s="4">
        <f>SimRevY1*(1+SimGrowth)^450</f>
        <v>2.1167926824782589E+23</v>
      </c>
      <c r="E452" s="4">
        <f>FacDevRevY1*(1+FacDevGrowth)^450</f>
        <v>1.0583963412391294E+23</v>
      </c>
      <c r="F452" s="4">
        <f t="shared" si="28"/>
        <v>3.1751890854418181E+23</v>
      </c>
      <c r="G452" s="4">
        <f t="shared" si="29"/>
        <v>3.175189095317727E+23</v>
      </c>
      <c r="H452" s="4">
        <f>SalaryFTECount*SalaryPerFTE*(1+SalaryGrowth)^450</f>
        <v>9710061468809.9551</v>
      </c>
      <c r="I452" s="4">
        <f>SimOpsY1*(1+SimOpsGrowth)^450</f>
        <v>3.2946647081755128E+19</v>
      </c>
      <c r="J452" s="4">
        <f>TrainDevY1*(1+TrainDevGrowth)^450</f>
        <v>1.6473323540877564E+19</v>
      </c>
      <c r="K452" s="4">
        <f>AdminY1*(1+AdminGrowth)^450</f>
        <v>4882804822260823</v>
      </c>
      <c r="L452" s="4">
        <f t="shared" si="30"/>
        <v>4.9424863137516421E+19</v>
      </c>
      <c r="M452" s="4">
        <f t="shared" si="31"/>
        <v>3.1746948466863518E+23</v>
      </c>
    </row>
    <row r="453" spans="1:13" x14ac:dyDescent="0.2">
      <c r="A453" s="3">
        <f>StartYear+451</f>
        <v>2476</v>
      </c>
      <c r="B453" s="4">
        <f>FacultyFTE*HoursPerWeek*WeeksPerYear*RatePerHour*(1+PracticeGrowth)^451</f>
        <v>1036970420384555.4</v>
      </c>
      <c r="C453" s="4">
        <f>StudentsY1*(1+StudentGrowth)^451*CreditsPerStudent*TuitionPerCredit</f>
        <v>6481065127403471</v>
      </c>
      <c r="D453" s="4">
        <f>SimRevY1*(1+SimGrowth)^451</f>
        <v>2.3284719507260857E+23</v>
      </c>
      <c r="E453" s="4">
        <f>FacDevRevY1*(1+FacDevGrowth)^451</f>
        <v>1.1642359753630428E+23</v>
      </c>
      <c r="F453" s="4">
        <f t="shared" si="28"/>
        <v>3.4927079908997797E+23</v>
      </c>
      <c r="G453" s="4">
        <f t="shared" si="29"/>
        <v>3.4927080012694836E+23</v>
      </c>
      <c r="H453" s="4">
        <f>SalaryFTECount*SalaryPerFTE*(1+SalaryGrowth)^451</f>
        <v>10098463927562.354</v>
      </c>
      <c r="I453" s="4">
        <f>SimOpsY1*(1+SimOpsGrowth)^451</f>
        <v>3.5582378848295543E+19</v>
      </c>
      <c r="J453" s="4">
        <f>TrainDevY1*(1+TrainDevGrowth)^451</f>
        <v>1.7791189424147771E+19</v>
      </c>
      <c r="K453" s="4">
        <f>AdminY1*(1+AdminGrowth)^451</f>
        <v>5175773111596473</v>
      </c>
      <c r="L453" s="4">
        <f t="shared" si="30"/>
        <v>5.3378754144018842E+19</v>
      </c>
      <c r="M453" s="4">
        <f t="shared" si="31"/>
        <v>3.4921742137280433E+23</v>
      </c>
    </row>
    <row r="454" spans="1:13" x14ac:dyDescent="0.2">
      <c r="A454" s="3">
        <f>StartYear+452</f>
        <v>2477</v>
      </c>
      <c r="B454" s="4">
        <f>FacultyFTE*HoursPerWeek*WeeksPerYear*RatePerHour*(1+PracticeGrowth)^452</f>
        <v>1088818941403783.1</v>
      </c>
      <c r="C454" s="4">
        <f>StudentsY1*(1+StudentGrowth)^452*CreditsPerStudent*TuitionPerCredit</f>
        <v>6805118383773645</v>
      </c>
      <c r="D454" s="4">
        <f>SimRevY1*(1+SimGrowth)^452</f>
        <v>2.5613191457986939E+23</v>
      </c>
      <c r="E454" s="4">
        <f>FacDevRevY1*(1+FacDevGrowth)^452</f>
        <v>1.280659572899347E+23</v>
      </c>
      <c r="F454" s="4">
        <f t="shared" si="28"/>
        <v>3.8419787867492249E+23</v>
      </c>
      <c r="G454" s="4">
        <f t="shared" si="29"/>
        <v>3.8419787976374146E+23</v>
      </c>
      <c r="H454" s="4">
        <f>SalaryFTECount*SalaryPerFTE*(1+SalaryGrowth)^452</f>
        <v>10502402484664.848</v>
      </c>
      <c r="I454" s="4">
        <f>SimOpsY1*(1+SimOpsGrowth)^452</f>
        <v>3.8428969156159185E+19</v>
      </c>
      <c r="J454" s="4">
        <f>TrainDevY1*(1+TrainDevGrowth)^452</f>
        <v>1.9214484578079592E+19</v>
      </c>
      <c r="K454" s="4">
        <f>AdminY1*(1+AdminGrowth)^452</f>
        <v>5486319498292262</v>
      </c>
      <c r="L454" s="4">
        <f t="shared" si="30"/>
        <v>5.7648950556139545E+19</v>
      </c>
      <c r="M454" s="4">
        <f t="shared" si="31"/>
        <v>3.8414023081318533E+23</v>
      </c>
    </row>
    <row r="455" spans="1:13" x14ac:dyDescent="0.2">
      <c r="A455" s="3">
        <f>StartYear+453</f>
        <v>2478</v>
      </c>
      <c r="B455" s="4">
        <f>FacultyFTE*HoursPerWeek*WeeksPerYear*RatePerHour*(1+PracticeGrowth)^453</f>
        <v>1143259888473972.2</v>
      </c>
      <c r="C455" s="4">
        <f>StudentsY1*(1+StudentGrowth)^453*CreditsPerStudent*TuitionPerCredit</f>
        <v>7145374302962326</v>
      </c>
      <c r="D455" s="4">
        <f>SimRevY1*(1+SimGrowth)^453</f>
        <v>2.8174510603785635E+23</v>
      </c>
      <c r="E455" s="4">
        <f>FacDevRevY1*(1+FacDevGrowth)^453</f>
        <v>1.4087255301892817E+23</v>
      </c>
      <c r="F455" s="4">
        <f t="shared" si="28"/>
        <v>4.2261766620215887E+23</v>
      </c>
      <c r="G455" s="4">
        <f t="shared" si="29"/>
        <v>4.2261766734541877E+23</v>
      </c>
      <c r="H455" s="4">
        <f>SalaryFTECount*SalaryPerFTE*(1+SalaryGrowth)^453</f>
        <v>10922498584051.443</v>
      </c>
      <c r="I455" s="4">
        <f>SimOpsY1*(1+SimOpsGrowth)^453</f>
        <v>4.1503286688651919E+19</v>
      </c>
      <c r="J455" s="4">
        <f>TrainDevY1*(1+TrainDevGrowth)^453</f>
        <v>2.075164334432596E+19</v>
      </c>
      <c r="K455" s="4">
        <f>AdminY1*(1+AdminGrowth)^453</f>
        <v>5815498668189797</v>
      </c>
      <c r="L455" s="4">
        <f t="shared" si="30"/>
        <v>6.2260756454144647E+19</v>
      </c>
      <c r="M455" s="4">
        <f t="shared" si="31"/>
        <v>4.2255540658896463E+23</v>
      </c>
    </row>
    <row r="456" spans="1:13" x14ac:dyDescent="0.2">
      <c r="A456" s="3">
        <f>StartYear+454</f>
        <v>2479</v>
      </c>
      <c r="B456" s="4">
        <f>FacultyFTE*HoursPerWeek*WeeksPerYear*RatePerHour*(1+PracticeGrowth)^454</f>
        <v>1200422882897670.8</v>
      </c>
      <c r="C456" s="4">
        <f>StudentsY1*(1+StudentGrowth)^454*CreditsPerStudent*TuitionPerCredit</f>
        <v>7502643018110442</v>
      </c>
      <c r="D456" s="4">
        <f>SimRevY1*(1+SimGrowth)^454</f>
        <v>3.09919616641642E+23</v>
      </c>
      <c r="E456" s="4">
        <f>FacDevRevY1*(1+FacDevGrowth)^454</f>
        <v>1.54959808320821E+23</v>
      </c>
      <c r="F456" s="4">
        <f t="shared" si="28"/>
        <v>4.6487943246510601E+23</v>
      </c>
      <c r="G456" s="4">
        <f t="shared" si="29"/>
        <v>4.648794336655289E+23</v>
      </c>
      <c r="H456" s="4">
        <f>SalaryFTECount*SalaryPerFTE*(1+SalaryGrowth)^454</f>
        <v>11359398527413.502</v>
      </c>
      <c r="I456" s="4">
        <f>SimOpsY1*(1+SimOpsGrowth)^454</f>
        <v>4.4823549623744086E+19</v>
      </c>
      <c r="J456" s="4">
        <f>TrainDevY1*(1+TrainDevGrowth)^454</f>
        <v>2.2411774811872043E+19</v>
      </c>
      <c r="K456" s="4">
        <f>AdminY1*(1+AdminGrowth)^454</f>
        <v>6164428588281187</v>
      </c>
      <c r="L456" s="4">
        <f t="shared" si="30"/>
        <v>6.7241500223602934E+19</v>
      </c>
      <c r="M456" s="4">
        <f t="shared" si="31"/>
        <v>4.648121921653053E+23</v>
      </c>
    </row>
    <row r="457" spans="1:13" x14ac:dyDescent="0.2">
      <c r="A457" s="3">
        <f>StartYear+455</f>
        <v>2480</v>
      </c>
      <c r="B457" s="4">
        <f>FacultyFTE*HoursPerWeek*WeeksPerYear*RatePerHour*(1+PracticeGrowth)^455</f>
        <v>1260444027042554.5</v>
      </c>
      <c r="C457" s="4">
        <f>StudentsY1*(1+StudentGrowth)^455*CreditsPerStudent*TuitionPerCredit</f>
        <v>7877775169015966</v>
      </c>
      <c r="D457" s="4">
        <f>SimRevY1*(1+SimGrowth)^455</f>
        <v>3.4091157830580628E+23</v>
      </c>
      <c r="E457" s="4">
        <f>FacDevRevY1*(1+FacDevGrowth)^455</f>
        <v>1.7045578915290314E+23</v>
      </c>
      <c r="F457" s="4">
        <f t="shared" si="28"/>
        <v>5.1136737533648464E+23</v>
      </c>
      <c r="G457" s="4">
        <f t="shared" si="29"/>
        <v>5.1136737659692869E+23</v>
      </c>
      <c r="H457" s="4">
        <f>SalaryFTECount*SalaryPerFTE*(1+SalaryGrowth)^455</f>
        <v>11813774468510.039</v>
      </c>
      <c r="I457" s="4">
        <f>SimOpsY1*(1+SimOpsGrowth)^455</f>
        <v>4.8409433593643606E+19</v>
      </c>
      <c r="J457" s="4">
        <f>TrainDevY1*(1+TrainDevGrowth)^455</f>
        <v>2.4204716796821803E+19</v>
      </c>
      <c r="K457" s="4">
        <f>AdminY1*(1+AdminGrowth)^455</f>
        <v>6534294303578059</v>
      </c>
      <c r="L457" s="4">
        <f t="shared" si="30"/>
        <v>7.2620696498543452E+19</v>
      </c>
      <c r="M457" s="4">
        <f t="shared" si="31"/>
        <v>5.1129475590043017E+23</v>
      </c>
    </row>
    <row r="458" spans="1:13" x14ac:dyDescent="0.2">
      <c r="A458" s="3">
        <f>StartYear+456</f>
        <v>2481</v>
      </c>
      <c r="B458" s="4">
        <f>FacultyFTE*HoursPerWeek*WeeksPerYear*RatePerHour*(1+PracticeGrowth)^456</f>
        <v>1323466228394682.2</v>
      </c>
      <c r="C458" s="4">
        <f>StudentsY1*(1+StudentGrowth)^456*CreditsPerStudent*TuitionPerCredit</f>
        <v>8271663927466764</v>
      </c>
      <c r="D458" s="4">
        <f>SimRevY1*(1+SimGrowth)^456</f>
        <v>3.7500273613638692E+23</v>
      </c>
      <c r="E458" s="4">
        <f>FacDevRevY1*(1+FacDevGrowth)^456</f>
        <v>1.8750136806819346E+23</v>
      </c>
      <c r="F458" s="4">
        <f t="shared" si="28"/>
        <v>5.6250411247624438E+23</v>
      </c>
      <c r="G458" s="4">
        <f t="shared" si="29"/>
        <v>5.6250411379971063E+23</v>
      </c>
      <c r="H458" s="4">
        <f>SalaryFTECount*SalaryPerFTE*(1+SalaryGrowth)^456</f>
        <v>12286325447250.443</v>
      </c>
      <c r="I458" s="4">
        <f>SimOpsY1*(1+SimOpsGrowth)^456</f>
        <v>5.2282188281135104E+19</v>
      </c>
      <c r="J458" s="4">
        <f>TrainDevY1*(1+TrainDevGrowth)^456</f>
        <v>2.6141094140567552E+19</v>
      </c>
      <c r="K458" s="4">
        <f>AdminY1*(1+AdminGrowth)^456</f>
        <v>6926351961792742</v>
      </c>
      <c r="L458" s="4">
        <f t="shared" si="30"/>
        <v>7.8430221059989914E+19</v>
      </c>
      <c r="M458" s="4">
        <f t="shared" si="31"/>
        <v>5.6242568357865064E+23</v>
      </c>
    </row>
    <row r="459" spans="1:13" x14ac:dyDescent="0.2">
      <c r="A459" s="3">
        <f>StartYear+457</f>
        <v>2482</v>
      </c>
      <c r="B459" s="4">
        <f>FacultyFTE*HoursPerWeek*WeeksPerYear*RatePerHour*(1+PracticeGrowth)^457</f>
        <v>1389639539814416.2</v>
      </c>
      <c r="C459" s="4">
        <f>StudentsY1*(1+StudentGrowth)^457*CreditsPerStudent*TuitionPerCredit</f>
        <v>8685247123840103</v>
      </c>
      <c r="D459" s="4">
        <f>SimRevY1*(1+SimGrowth)^457</f>
        <v>4.1250300975002561E+23</v>
      </c>
      <c r="E459" s="4">
        <f>FacDevRevY1*(1+FacDevGrowth)^457</f>
        <v>2.062515048750128E+23</v>
      </c>
      <c r="F459" s="4">
        <f t="shared" si="28"/>
        <v>6.1875452331028555E+23</v>
      </c>
      <c r="G459" s="4">
        <f t="shared" si="29"/>
        <v>6.1875452469992503E+23</v>
      </c>
      <c r="H459" s="4">
        <f>SalaryFTECount*SalaryPerFTE*(1+SalaryGrowth)^457</f>
        <v>12777778465140.465</v>
      </c>
      <c r="I459" s="4">
        <f>SimOpsY1*(1+SimOpsGrowth)^457</f>
        <v>5.6464763343625921E+19</v>
      </c>
      <c r="J459" s="4">
        <f>TrainDevY1*(1+TrainDevGrowth)^457</f>
        <v>2.823238167181296E+19</v>
      </c>
      <c r="K459" s="4">
        <f>AdminY1*(1+AdminGrowth)^457</f>
        <v>7341933079500305</v>
      </c>
      <c r="L459" s="4">
        <f t="shared" si="30"/>
        <v>8.4704499726296842E+19</v>
      </c>
      <c r="M459" s="4">
        <f t="shared" si="31"/>
        <v>6.1866982020019872E+23</v>
      </c>
    </row>
    <row r="460" spans="1:13" x14ac:dyDescent="0.2">
      <c r="A460" s="3">
        <f>StartYear+458</f>
        <v>2483</v>
      </c>
      <c r="B460" s="4">
        <f>FacultyFTE*HoursPerWeek*WeeksPerYear*RatePerHour*(1+PracticeGrowth)^458</f>
        <v>1459121516805136.8</v>
      </c>
      <c r="C460" s="4">
        <f>StudentsY1*(1+StudentGrowth)^458*CreditsPerStudent*TuitionPerCredit</f>
        <v>9119509480032106</v>
      </c>
      <c r="D460" s="4">
        <f>SimRevY1*(1+SimGrowth)^458</f>
        <v>4.5375331072502822E+23</v>
      </c>
      <c r="E460" s="4">
        <f>FacDevRevY1*(1+FacDevGrowth)^458</f>
        <v>2.2687665536251411E+23</v>
      </c>
      <c r="F460" s="4">
        <f t="shared" si="28"/>
        <v>6.8062997520705175E+23</v>
      </c>
      <c r="G460" s="4">
        <f t="shared" si="29"/>
        <v>6.8062997666617321E+23</v>
      </c>
      <c r="H460" s="4">
        <f>SalaryFTECount*SalaryPerFTE*(1+SalaryGrowth)^458</f>
        <v>13288889603746.082</v>
      </c>
      <c r="I460" s="4">
        <f>SimOpsY1*(1+SimOpsGrowth)^458</f>
        <v>6.0981944411115995E+19</v>
      </c>
      <c r="J460" s="4">
        <f>TrainDevY1*(1+TrainDevGrowth)^458</f>
        <v>3.0490972205557998E+19</v>
      </c>
      <c r="K460" s="4">
        <f>AdminY1*(1+AdminGrowth)^458</f>
        <v>7782449064270325</v>
      </c>
      <c r="L460" s="4">
        <f t="shared" si="30"/>
        <v>9.1480712354627863E+19</v>
      </c>
      <c r="M460" s="4">
        <f t="shared" si="31"/>
        <v>6.805384959538186E+23</v>
      </c>
    </row>
    <row r="461" spans="1:13" x14ac:dyDescent="0.2">
      <c r="A461" s="3">
        <f>StartYear+459</f>
        <v>2484</v>
      </c>
      <c r="B461" s="4">
        <f>FacultyFTE*HoursPerWeek*WeeksPerYear*RatePerHour*(1+PracticeGrowth)^459</f>
        <v>1532077592645394</v>
      </c>
      <c r="C461" s="4">
        <f>StudentsY1*(1+StudentGrowth)^459*CreditsPerStudent*TuitionPerCredit</f>
        <v>9575484954033712</v>
      </c>
      <c r="D461" s="4">
        <f>SimRevY1*(1+SimGrowth)^459</f>
        <v>4.9912864179753105E+23</v>
      </c>
      <c r="E461" s="4">
        <f>FacDevRevY1*(1+FacDevGrowth)^459</f>
        <v>2.4956432089876553E+23</v>
      </c>
      <c r="F461" s="4">
        <f t="shared" si="28"/>
        <v>7.4869297227178151E+23</v>
      </c>
      <c r="G461" s="4">
        <f t="shared" si="29"/>
        <v>7.4869297380385916E+23</v>
      </c>
      <c r="H461" s="4">
        <f>SalaryFTECount*SalaryPerFTE*(1+SalaryGrowth)^459</f>
        <v>13820445187895.924</v>
      </c>
      <c r="I461" s="4">
        <f>SimOpsY1*(1+SimOpsGrowth)^459</f>
        <v>6.5860499964005278E+19</v>
      </c>
      <c r="J461" s="4">
        <f>TrainDevY1*(1+TrainDevGrowth)^459</f>
        <v>3.2930249982002639E+19</v>
      </c>
      <c r="K461" s="4">
        <f>AdminY1*(1+AdminGrowth)^459</f>
        <v>8249396008126544</v>
      </c>
      <c r="L461" s="4">
        <f t="shared" si="30"/>
        <v>9.8799013162461233E+19</v>
      </c>
      <c r="M461" s="4">
        <f t="shared" si="31"/>
        <v>7.4859417479069676E+23</v>
      </c>
    </row>
    <row r="462" spans="1:13" x14ac:dyDescent="0.2">
      <c r="A462" s="3">
        <f>StartYear+460</f>
        <v>2485</v>
      </c>
      <c r="B462" s="4">
        <f>FacultyFTE*HoursPerWeek*WeeksPerYear*RatePerHour*(1+PracticeGrowth)^460</f>
        <v>1608681472277663.5</v>
      </c>
      <c r="C462" s="4">
        <f>StudentsY1*(1+StudentGrowth)^460*CreditsPerStudent*TuitionPerCredit</f>
        <v>1.0054259201735396E+16</v>
      </c>
      <c r="D462" s="4">
        <f>SimRevY1*(1+SimGrowth)^460</f>
        <v>5.4904150597728411E+23</v>
      </c>
      <c r="E462" s="4">
        <f>FacDevRevY1*(1+FacDevGrowth)^460</f>
        <v>2.7452075298864206E+23</v>
      </c>
      <c r="F462" s="4">
        <f t="shared" si="28"/>
        <v>8.2356226902018537E+23</v>
      </c>
      <c r="G462" s="4">
        <f t="shared" si="29"/>
        <v>8.2356227062886684E+23</v>
      </c>
      <c r="H462" s="4">
        <f>SalaryFTECount*SalaryPerFTE*(1+SalaryGrowth)^460</f>
        <v>14373262995411.762</v>
      </c>
      <c r="I462" s="4">
        <f>SimOpsY1*(1+SimOpsGrowth)^460</f>
        <v>7.11293399611257E+19</v>
      </c>
      <c r="J462" s="4">
        <f>TrainDevY1*(1+TrainDevGrowth)^460</f>
        <v>3.556466998056285E+19</v>
      </c>
      <c r="K462" s="4">
        <f>AdminY1*(1+AdminGrowth)^460</f>
        <v>8744359768614138</v>
      </c>
      <c r="L462" s="4">
        <f t="shared" si="30"/>
        <v>1.0670276867472015E+20</v>
      </c>
      <c r="M462" s="4">
        <f t="shared" si="31"/>
        <v>8.2345556786019211E+23</v>
      </c>
    </row>
    <row r="463" spans="1:13" x14ac:dyDescent="0.2">
      <c r="A463" s="3">
        <f>StartYear+461</f>
        <v>2486</v>
      </c>
      <c r="B463" s="4">
        <f>FacultyFTE*HoursPerWeek*WeeksPerYear*RatePerHour*(1+PracticeGrowth)^461</f>
        <v>1689115545891547</v>
      </c>
      <c r="C463" s="4">
        <f>StudentsY1*(1+StudentGrowth)^461*CreditsPerStudent*TuitionPerCredit</f>
        <v>1.055697216182217E+16</v>
      </c>
      <c r="D463" s="4">
        <f>SimRevY1*(1+SimGrowth)^461</f>
        <v>6.0394565657501258E+23</v>
      </c>
      <c r="E463" s="4">
        <f>FacDevRevY1*(1+FacDevGrowth)^461</f>
        <v>3.0197282828750629E+23</v>
      </c>
      <c r="F463" s="4">
        <f t="shared" si="28"/>
        <v>9.0591849541949107E+23</v>
      </c>
      <c r="G463" s="4">
        <f t="shared" si="29"/>
        <v>9.0591849710860668E+23</v>
      </c>
      <c r="H463" s="4">
        <f>SalaryFTECount*SalaryPerFTE*(1+SalaryGrowth)^461</f>
        <v>14948193515228.236</v>
      </c>
      <c r="I463" s="4">
        <f>SimOpsY1*(1+SimOpsGrowth)^461</f>
        <v>7.6819687158015738E+19</v>
      </c>
      <c r="J463" s="4">
        <f>TrainDevY1*(1+TrainDevGrowth)^461</f>
        <v>3.8409843579007869E+19</v>
      </c>
      <c r="K463" s="4">
        <f>AdminY1*(1+AdminGrowth)^461</f>
        <v>9269021354730988</v>
      </c>
      <c r="L463" s="4">
        <f t="shared" si="30"/>
        <v>1.1523881470657185E+20</v>
      </c>
      <c r="M463" s="4">
        <f t="shared" si="31"/>
        <v>9.0580325829390014E+23</v>
      </c>
    </row>
    <row r="464" spans="1:13" x14ac:dyDescent="0.2">
      <c r="A464" s="3">
        <f>StartYear+462</f>
        <v>2487</v>
      </c>
      <c r="B464" s="4">
        <f>FacultyFTE*HoursPerWeek*WeeksPerYear*RatePerHour*(1+PracticeGrowth)^462</f>
        <v>1773571323186123.8</v>
      </c>
      <c r="C464" s="4">
        <f>StudentsY1*(1+StudentGrowth)^462*CreditsPerStudent*TuitionPerCredit</f>
        <v>1.1084820769913274E+16</v>
      </c>
      <c r="D464" s="4">
        <f>SimRevY1*(1+SimGrowth)^462</f>
        <v>6.6434022223251389E+23</v>
      </c>
      <c r="E464" s="4">
        <f>FacDevRevY1*(1+FacDevGrowth)^462</f>
        <v>3.3217011111625695E+23</v>
      </c>
      <c r="F464" s="4">
        <f t="shared" si="28"/>
        <v>9.9651034443359167E+23</v>
      </c>
      <c r="G464" s="4">
        <f t="shared" si="29"/>
        <v>9.9651034620716298E+23</v>
      </c>
      <c r="H464" s="4">
        <f>SalaryFTECount*SalaryPerFTE*(1+SalaryGrowth)^462</f>
        <v>15546121255837.365</v>
      </c>
      <c r="I464" s="4">
        <f>SimOpsY1*(1+SimOpsGrowth)^462</f>
        <v>8.2965262130657018E+19</v>
      </c>
      <c r="J464" s="4">
        <f>TrainDevY1*(1+TrainDevGrowth)^462</f>
        <v>4.1482631065328509E+19</v>
      </c>
      <c r="K464" s="4">
        <f>AdminY1*(1+AdminGrowth)^462</f>
        <v>9825162636014846</v>
      </c>
      <c r="L464" s="4">
        <f t="shared" si="30"/>
        <v>1.2445773390474279E+20</v>
      </c>
      <c r="M464" s="4">
        <f t="shared" si="31"/>
        <v>9.9638588847325821E+23</v>
      </c>
    </row>
    <row r="465" spans="1:13" x14ac:dyDescent="0.2">
      <c r="A465" s="3">
        <f>StartYear+463</f>
        <v>2488</v>
      </c>
      <c r="B465" s="4">
        <f>FacultyFTE*HoursPerWeek*WeeksPerYear*RatePerHour*(1+PracticeGrowth)^463</f>
        <v>1862249889345430.5</v>
      </c>
      <c r="C465" s="4">
        <f>StudentsY1*(1+StudentGrowth)^463*CreditsPerStudent*TuitionPerCredit</f>
        <v>1.163906180840894E+16</v>
      </c>
      <c r="D465" s="4">
        <f>SimRevY1*(1+SimGrowth)^463</f>
        <v>7.3077424445576526E+23</v>
      </c>
      <c r="E465" s="4">
        <f>FacDevRevY1*(1+FacDevGrowth)^463</f>
        <v>3.6538712222788263E+23</v>
      </c>
      <c r="F465" s="4">
        <f t="shared" si="28"/>
        <v>1.0961613783227096E+24</v>
      </c>
      <c r="G465" s="4">
        <f t="shared" si="29"/>
        <v>1.0961613801849595E+24</v>
      </c>
      <c r="H465" s="4">
        <f>SalaryFTECount*SalaryPerFTE*(1+SalaryGrowth)^463</f>
        <v>16167966106070.857</v>
      </c>
      <c r="I465" s="4">
        <f>SimOpsY1*(1+SimOpsGrowth)^463</f>
        <v>8.9602483101109584E+19</v>
      </c>
      <c r="J465" s="4">
        <f>TrainDevY1*(1+TrainDevGrowth)^463</f>
        <v>4.4801241550554792E+19</v>
      </c>
      <c r="K465" s="4">
        <f>AdminY1*(1+AdminGrowth)^463</f>
        <v>1.041467239417574E+16</v>
      </c>
      <c r="L465" s="4">
        <f t="shared" si="30"/>
        <v>1.3441415549202466E+20</v>
      </c>
      <c r="M465" s="4">
        <f t="shared" si="31"/>
        <v>1.0960269660294675E+24</v>
      </c>
    </row>
    <row r="466" spans="1:13" x14ac:dyDescent="0.2">
      <c r="A466" s="3">
        <f>StartYear+464</f>
        <v>2489</v>
      </c>
      <c r="B466" s="4">
        <f>FacultyFTE*HoursPerWeek*WeeksPerYear*RatePerHour*(1+PracticeGrowth)^464</f>
        <v>1955362383812702.2</v>
      </c>
      <c r="C466" s="4">
        <f>StudentsY1*(1+StudentGrowth)^464*CreditsPerStudent*TuitionPerCredit</f>
        <v>1.2221014898829392E+16</v>
      </c>
      <c r="D466" s="4">
        <f>SimRevY1*(1+SimGrowth)^464</f>
        <v>8.0385166890134198E+23</v>
      </c>
      <c r="E466" s="4">
        <f>FacDevRevY1*(1+FacDevGrowth)^464</f>
        <v>4.0192583445067099E+23</v>
      </c>
      <c r="F466" s="4">
        <f t="shared" si="28"/>
        <v>1.2057775155730278E+24</v>
      </c>
      <c r="G466" s="4">
        <f t="shared" si="29"/>
        <v>1.2057775175283902E+24</v>
      </c>
      <c r="H466" s="4">
        <f>SalaryFTECount*SalaryPerFTE*(1+SalaryGrowth)^464</f>
        <v>16814684750313.695</v>
      </c>
      <c r="I466" s="4">
        <f>SimOpsY1*(1+SimOpsGrowth)^464</f>
        <v>9.6770681749198356E+19</v>
      </c>
      <c r="J466" s="4">
        <f>TrainDevY1*(1+TrainDevGrowth)^464</f>
        <v>4.8385340874599178E+19</v>
      </c>
      <c r="K466" s="4">
        <f>AdminY1*(1+AdminGrowth)^464</f>
        <v>1.1039552737826282E+16</v>
      </c>
      <c r="L466" s="4">
        <f t="shared" si="30"/>
        <v>1.451670789912201E+20</v>
      </c>
      <c r="M466" s="4">
        <f t="shared" si="31"/>
        <v>1.205632350449399E+24</v>
      </c>
    </row>
    <row r="467" spans="1:13" x14ac:dyDescent="0.2">
      <c r="A467" s="3">
        <f>StartYear+465</f>
        <v>2490</v>
      </c>
      <c r="B467" s="4">
        <f>FacultyFTE*HoursPerWeek*WeeksPerYear*RatePerHour*(1+PracticeGrowth)^465</f>
        <v>2053130503003337.5</v>
      </c>
      <c r="C467" s="4">
        <f>StudentsY1*(1+StudentGrowth)^465*CreditsPerStudent*TuitionPerCredit</f>
        <v>1.283206564377086E+16</v>
      </c>
      <c r="D467" s="4">
        <f>SimRevY1*(1+SimGrowth)^465</f>
        <v>8.842368357914761E+23</v>
      </c>
      <c r="E467" s="4">
        <f>FacDevRevY1*(1+FacDevGrowth)^465</f>
        <v>4.4211841789573805E+23</v>
      </c>
      <c r="F467" s="4">
        <f t="shared" si="28"/>
        <v>1.3263552665192797E+24</v>
      </c>
      <c r="G467" s="4">
        <f t="shared" si="29"/>
        <v>1.3263552685724102E+24</v>
      </c>
      <c r="H467" s="4">
        <f>SalaryFTECount*SalaryPerFTE*(1+SalaryGrowth)^465</f>
        <v>17487272140326.242</v>
      </c>
      <c r="I467" s="4">
        <f>SimOpsY1*(1+SimOpsGrowth)^465</f>
        <v>1.0451233628913422E+20</v>
      </c>
      <c r="J467" s="4">
        <f>TrainDevY1*(1+TrainDevGrowth)^465</f>
        <v>5.2256168144567108E+19</v>
      </c>
      <c r="K467" s="4">
        <f>AdminY1*(1+AdminGrowth)^465</f>
        <v>1.1701925902095862E+16</v>
      </c>
      <c r="L467" s="4">
        <f t="shared" si="30"/>
        <v>1.5678022384687553E+20</v>
      </c>
      <c r="M467" s="4">
        <f t="shared" si="31"/>
        <v>1.3261984883485634E+24</v>
      </c>
    </row>
    <row r="468" spans="1:13" x14ac:dyDescent="0.2">
      <c r="A468" s="3">
        <f>StartYear+466</f>
        <v>2491</v>
      </c>
      <c r="B468" s="4">
        <f>FacultyFTE*HoursPerWeek*WeeksPerYear*RatePerHour*(1+PracticeGrowth)^466</f>
        <v>2155787028153504.2</v>
      </c>
      <c r="C468" s="4">
        <f>StudentsY1*(1+StudentGrowth)^466*CreditsPerStudent*TuitionPerCredit</f>
        <v>1.34736689259594E+16</v>
      </c>
      <c r="D468" s="4">
        <f>SimRevY1*(1+SimGrowth)^466</f>
        <v>9.7266051937062381E+23</v>
      </c>
      <c r="E468" s="4">
        <f>FacDevRevY1*(1+FacDevGrowth)^466</f>
        <v>4.863302596853119E+23</v>
      </c>
      <c r="F468" s="4">
        <f t="shared" si="28"/>
        <v>1.4589907925296045E+24</v>
      </c>
      <c r="G468" s="4">
        <f t="shared" si="29"/>
        <v>1.4589907946853917E+24</v>
      </c>
      <c r="H468" s="4">
        <f>SalaryFTECount*SalaryPerFTE*(1+SalaryGrowth)^466</f>
        <v>18186763025939.293</v>
      </c>
      <c r="I468" s="4">
        <f>SimOpsY1*(1+SimOpsGrowth)^466</f>
        <v>1.1287332319226498E+20</v>
      </c>
      <c r="J468" s="4">
        <f>TrainDevY1*(1+TrainDevGrowth)^466</f>
        <v>5.6436661596132491E+19</v>
      </c>
      <c r="K468" s="4">
        <f>AdminY1*(1+AdminGrowth)^466</f>
        <v>1.2404041456221612E+16</v>
      </c>
      <c r="L468" s="4">
        <f t="shared" si="30"/>
        <v>1.6932240701661672E+20</v>
      </c>
      <c r="M468" s="4">
        <f t="shared" si="31"/>
        <v>1.4588214722783751E+24</v>
      </c>
    </row>
    <row r="469" spans="1:13" x14ac:dyDescent="0.2">
      <c r="A469" s="3">
        <f>StartYear+467</f>
        <v>2492</v>
      </c>
      <c r="B469" s="4">
        <f>FacultyFTE*HoursPerWeek*WeeksPerYear*RatePerHour*(1+PracticeGrowth)^467</f>
        <v>2263576379561179.5</v>
      </c>
      <c r="C469" s="4">
        <f>StudentsY1*(1+StudentGrowth)^467*CreditsPerStudent*TuitionPerCredit</f>
        <v>1.4147352372257372E+16</v>
      </c>
      <c r="D469" s="4">
        <f>SimRevY1*(1+SimGrowth)^467</f>
        <v>1.0699265713076867E+24</v>
      </c>
      <c r="E469" s="4">
        <f>FacDevRevY1*(1+FacDevGrowth)^467</f>
        <v>5.3496328565384334E+23</v>
      </c>
      <c r="F469" s="4">
        <f t="shared" si="28"/>
        <v>1.6048898711088823E+24</v>
      </c>
      <c r="G469" s="4">
        <f t="shared" si="29"/>
        <v>1.6048898733724587E+24</v>
      </c>
      <c r="H469" s="4">
        <f>SalaryFTECount*SalaryPerFTE*(1+SalaryGrowth)^467</f>
        <v>18914233546976.867</v>
      </c>
      <c r="I469" s="4">
        <f>SimOpsY1*(1+SimOpsGrowth)^467</f>
        <v>1.2190318904764621E+20</v>
      </c>
      <c r="J469" s="4">
        <f>TrainDevY1*(1+TrainDevGrowth)^467</f>
        <v>6.0951594523823104E+19</v>
      </c>
      <c r="K469" s="4">
        <f>AdminY1*(1+AdminGrowth)^467</f>
        <v>1.314828394359491E+16</v>
      </c>
      <c r="L469" s="4">
        <f t="shared" si="30"/>
        <v>1.8286795076964644E+20</v>
      </c>
      <c r="M469" s="4">
        <f t="shared" si="31"/>
        <v>1.604707005421689E+24</v>
      </c>
    </row>
    <row r="470" spans="1:13" x14ac:dyDescent="0.2">
      <c r="A470" s="3">
        <f>StartYear+468</f>
        <v>2493</v>
      </c>
      <c r="B470" s="4">
        <f>FacultyFTE*HoursPerWeek*WeeksPerYear*RatePerHour*(1+PracticeGrowth)^468</f>
        <v>2376755198539238.5</v>
      </c>
      <c r="C470" s="4">
        <f>StudentsY1*(1+StudentGrowth)^468*CreditsPerStudent*TuitionPerCredit</f>
        <v>1.485471999087024E+16</v>
      </c>
      <c r="D470" s="4">
        <f>SimRevY1*(1+SimGrowth)^468</f>
        <v>1.1769192284384548E+24</v>
      </c>
      <c r="E470" s="4">
        <f>FacDevRevY1*(1+FacDevGrowth)^468</f>
        <v>5.8845961421922741E+23</v>
      </c>
      <c r="F470" s="4">
        <f t="shared" si="28"/>
        <v>1.7653788575124023E+24</v>
      </c>
      <c r="G470" s="4">
        <f t="shared" si="29"/>
        <v>1.7653788598891575E+24</v>
      </c>
      <c r="H470" s="4">
        <f>SalaryFTECount*SalaryPerFTE*(1+SalaryGrowth)^468</f>
        <v>19670802888855.941</v>
      </c>
      <c r="I470" s="4">
        <f>SimOpsY1*(1+SimOpsGrowth)^468</f>
        <v>1.3165544417145787E+20</v>
      </c>
      <c r="J470" s="4">
        <f>TrainDevY1*(1+TrainDevGrowth)^468</f>
        <v>6.5827722085728936E+19</v>
      </c>
      <c r="K470" s="4">
        <f>AdminY1*(1+AdminGrowth)^468</f>
        <v>1.3937180980210604E+16</v>
      </c>
      <c r="L470" s="4">
        <f t="shared" si="30"/>
        <v>1.9749712310896991E+20</v>
      </c>
      <c r="M470" s="4">
        <f t="shared" si="31"/>
        <v>1.7651813627660485E+24</v>
      </c>
    </row>
    <row r="471" spans="1:13" x14ac:dyDescent="0.2">
      <c r="A471" s="3">
        <f>StartYear+469</f>
        <v>2494</v>
      </c>
      <c r="B471" s="4">
        <f>FacultyFTE*HoursPerWeek*WeeksPerYear*RatePerHour*(1+PracticeGrowth)^469</f>
        <v>2495592958466200.5</v>
      </c>
      <c r="C471" s="4">
        <f>StudentsY1*(1+StudentGrowth)^469*CreditsPerStudent*TuitionPerCredit</f>
        <v>1.5597455990413754E+16</v>
      </c>
      <c r="D471" s="4">
        <f>SimRevY1*(1+SimGrowth)^469</f>
        <v>1.2946111512823007E+24</v>
      </c>
      <c r="E471" s="4">
        <f>FacDevRevY1*(1+FacDevGrowth)^469</f>
        <v>6.4730557564115033E+23</v>
      </c>
      <c r="F471" s="4">
        <f t="shared" si="28"/>
        <v>1.9419167425209068E+24</v>
      </c>
      <c r="G471" s="4">
        <f t="shared" si="29"/>
        <v>1.9419167450164997E+24</v>
      </c>
      <c r="H471" s="4">
        <f>SalaryFTECount*SalaryPerFTE*(1+SalaryGrowth)^469</f>
        <v>20457635004410.184</v>
      </c>
      <c r="I471" s="4">
        <f>SimOpsY1*(1+SimOpsGrowth)^469</f>
        <v>1.4218787970517452E+20</v>
      </c>
      <c r="J471" s="4">
        <f>TrainDevY1*(1+TrainDevGrowth)^469</f>
        <v>7.1093939852587262E+19</v>
      </c>
      <c r="K471" s="4">
        <f>AdminY1*(1+AdminGrowth)^469</f>
        <v>1.4773411839023242E+16</v>
      </c>
      <c r="L471" s="4">
        <f t="shared" si="30"/>
        <v>2.1329661342723582E+20</v>
      </c>
      <c r="M471" s="4">
        <f t="shared" si="31"/>
        <v>1.9417034484030726E+24</v>
      </c>
    </row>
    <row r="472" spans="1:13" x14ac:dyDescent="0.2">
      <c r="A472" s="3">
        <f>StartYear+470</f>
        <v>2495</v>
      </c>
      <c r="B472" s="4">
        <f>FacultyFTE*HoursPerWeek*WeeksPerYear*RatePerHour*(1+PracticeGrowth)^470</f>
        <v>2620372606389510</v>
      </c>
      <c r="C472" s="4">
        <f>StudentsY1*(1+StudentGrowth)^470*CreditsPerStudent*TuitionPerCredit</f>
        <v>1.6377328789934436E+16</v>
      </c>
      <c r="D472" s="4">
        <f>SimRevY1*(1+SimGrowth)^470</f>
        <v>1.4240722664105312E+24</v>
      </c>
      <c r="E472" s="4">
        <f>FacDevRevY1*(1+FacDevGrowth)^470</f>
        <v>7.1203613320526558E+23</v>
      </c>
      <c r="F472" s="4">
        <f t="shared" si="28"/>
        <v>2.1361084159931255E+24</v>
      </c>
      <c r="G472" s="4">
        <f t="shared" si="29"/>
        <v>2.1361084186134982E+24</v>
      </c>
      <c r="H472" s="4">
        <f>SalaryFTECount*SalaryPerFTE*(1+SalaryGrowth)^470</f>
        <v>21275940404586.594</v>
      </c>
      <c r="I472" s="4">
        <f>SimOpsY1*(1+SimOpsGrowth)^470</f>
        <v>1.5356291008158849E+20</v>
      </c>
      <c r="J472" s="4">
        <f>TrainDevY1*(1+TrainDevGrowth)^470</f>
        <v>7.6781455040794247E+19</v>
      </c>
      <c r="K472" s="4">
        <f>AdminY1*(1+AdminGrowth)^470</f>
        <v>1.5659816549364638E+16</v>
      </c>
      <c r="L472" s="4">
        <f t="shared" si="30"/>
        <v>2.303600462148725E+20</v>
      </c>
      <c r="M472" s="4">
        <f t="shared" si="31"/>
        <v>2.1358780585672832E+24</v>
      </c>
    </row>
    <row r="473" spans="1:13" x14ac:dyDescent="0.2">
      <c r="A473" s="3">
        <f>StartYear+471</f>
        <v>2496</v>
      </c>
      <c r="B473" s="4">
        <f>FacultyFTE*HoursPerWeek*WeeksPerYear*RatePerHour*(1+PracticeGrowth)^471</f>
        <v>2751391236708986</v>
      </c>
      <c r="C473" s="4">
        <f>StudentsY1*(1+StudentGrowth)^471*CreditsPerStudent*TuitionPerCredit</f>
        <v>1.7196195229431164E+16</v>
      </c>
      <c r="D473" s="4">
        <f>SimRevY1*(1+SimGrowth)^471</f>
        <v>1.5664794930515842E+24</v>
      </c>
      <c r="E473" s="4">
        <f>FacDevRevY1*(1+FacDevGrowth)^471</f>
        <v>7.8323974652579211E+23</v>
      </c>
      <c r="F473" s="4">
        <f t="shared" si="28"/>
        <v>2.3497192567735715E+24</v>
      </c>
      <c r="G473" s="4">
        <f t="shared" si="29"/>
        <v>2.3497192595249627E+24</v>
      </c>
      <c r="H473" s="4">
        <f>SalaryFTECount*SalaryPerFTE*(1+SalaryGrowth)^471</f>
        <v>22126978020770.051</v>
      </c>
      <c r="I473" s="4">
        <f>SimOpsY1*(1+SimOpsGrowth)^471</f>
        <v>1.6584794288811557E+20</v>
      </c>
      <c r="J473" s="4">
        <f>TrainDevY1*(1+TrainDevGrowth)^471</f>
        <v>8.2923971444057784E+19</v>
      </c>
      <c r="K473" s="4">
        <f>AdminY1*(1+AdminGrowth)^471</f>
        <v>1.659940554232652E+16</v>
      </c>
      <c r="L473" s="4">
        <f t="shared" si="30"/>
        <v>2.4878853586469372E+20</v>
      </c>
      <c r="M473" s="4">
        <f t="shared" si="31"/>
        <v>2.3494704709890981E+24</v>
      </c>
    </row>
    <row r="474" spans="1:13" x14ac:dyDescent="0.2">
      <c r="A474" s="3">
        <f>StartYear+472</f>
        <v>2497</v>
      </c>
      <c r="B474" s="4">
        <f>FacultyFTE*HoursPerWeek*WeeksPerYear*RatePerHour*(1+PracticeGrowth)^472</f>
        <v>2888960798544434.5</v>
      </c>
      <c r="C474" s="4">
        <f>StudentsY1*(1+StudentGrowth)^472*CreditsPerStudent*TuitionPerCredit</f>
        <v>1.8056004990902716E+16</v>
      </c>
      <c r="D474" s="4">
        <f>SimRevY1*(1+SimGrowth)^472</f>
        <v>1.7231274423567423E+24</v>
      </c>
      <c r="E474" s="4">
        <f>FacDevRevY1*(1+FacDevGrowth)^472</f>
        <v>8.6156372117837113E+23</v>
      </c>
      <c r="F474" s="4">
        <f t="shared" si="28"/>
        <v>2.5846911815911182E+24</v>
      </c>
      <c r="G474" s="4">
        <f t="shared" si="29"/>
        <v>2.5846911844800791E+24</v>
      </c>
      <c r="H474" s="4">
        <f>SalaryFTECount*SalaryPerFTE*(1+SalaryGrowth)^472</f>
        <v>23012057141600.855</v>
      </c>
      <c r="I474" s="4">
        <f>SimOpsY1*(1+SimOpsGrowth)^472</f>
        <v>1.7911577831916483E+20</v>
      </c>
      <c r="J474" s="4">
        <f>TrainDevY1*(1+TrainDevGrowth)^472</f>
        <v>8.9557889159582417E+19</v>
      </c>
      <c r="K474" s="4">
        <f>AdminY1*(1+AdminGrowth)^472</f>
        <v>1.7595369874866106E+16</v>
      </c>
      <c r="L474" s="4">
        <f t="shared" si="30"/>
        <v>2.6869128586067925E+20</v>
      </c>
      <c r="M474" s="4">
        <f t="shared" si="31"/>
        <v>2.5844224931942184E+24</v>
      </c>
    </row>
    <row r="475" spans="1:13" x14ac:dyDescent="0.2">
      <c r="A475" s="3">
        <f>StartYear+473</f>
        <v>2498</v>
      </c>
      <c r="B475" s="4">
        <f>FacultyFTE*HoursPerWeek*WeeksPerYear*RatePerHour*(1+PracticeGrowth)^473</f>
        <v>3033408838471657</v>
      </c>
      <c r="C475" s="4">
        <f>StudentsY1*(1+StudentGrowth)^473*CreditsPerStudent*TuitionPerCredit</f>
        <v>1.8958805240447856E+16</v>
      </c>
      <c r="D475" s="4">
        <f>SimRevY1*(1+SimGrowth)^473</f>
        <v>1.8954401865924169E+24</v>
      </c>
      <c r="E475" s="4">
        <f>FacDevRevY1*(1+FacDevGrowth)^473</f>
        <v>9.4772009329620847E+23</v>
      </c>
      <c r="F475" s="4">
        <f t="shared" si="28"/>
        <v>2.8431602988474307E+24</v>
      </c>
      <c r="G475" s="4">
        <f t="shared" si="29"/>
        <v>2.8431603018808394E+24</v>
      </c>
      <c r="H475" s="4">
        <f>SalaryFTECount*SalaryPerFTE*(1+SalaryGrowth)^473</f>
        <v>23932539427264.898</v>
      </c>
      <c r="I475" s="4">
        <f>SimOpsY1*(1+SimOpsGrowth)^473</f>
        <v>1.9344504058469804E+20</v>
      </c>
      <c r="J475" s="4">
        <f>TrainDevY1*(1+TrainDevGrowth)^473</f>
        <v>9.6722520292349018E+19</v>
      </c>
      <c r="K475" s="4">
        <f>AdminY1*(1+AdminGrowth)^473</f>
        <v>1.8651092067358076E+16</v>
      </c>
      <c r="L475" s="4">
        <f t="shared" si="30"/>
        <v>2.9018623590165384E+20</v>
      </c>
      <c r="M475" s="4">
        <f t="shared" si="31"/>
        <v>2.8428701156449377E+24</v>
      </c>
    </row>
    <row r="476" spans="1:13" x14ac:dyDescent="0.2">
      <c r="A476" s="3">
        <f>StartYear+474</f>
        <v>2499</v>
      </c>
      <c r="B476" s="4">
        <f>FacultyFTE*HoursPerWeek*WeeksPerYear*RatePerHour*(1+PracticeGrowth)^474</f>
        <v>3185079280395239.5</v>
      </c>
      <c r="C476" s="4">
        <f>StudentsY1*(1+StudentGrowth)^474*CreditsPerStudent*TuitionPerCredit</f>
        <v>1.9906745502470248E+16</v>
      </c>
      <c r="D476" s="4">
        <f>SimRevY1*(1+SimGrowth)^474</f>
        <v>2.0849842052516589E+24</v>
      </c>
      <c r="E476" s="4">
        <f>FacDevRevY1*(1+FacDevGrowth)^474</f>
        <v>1.0424921026258294E+24</v>
      </c>
      <c r="F476" s="4">
        <f t="shared" si="28"/>
        <v>3.127476327784234E+24</v>
      </c>
      <c r="G476" s="4">
        <f t="shared" si="29"/>
        <v>3.127476330969313E+24</v>
      </c>
      <c r="H476" s="4">
        <f>SalaryFTECount*SalaryPerFTE*(1+SalaryGrowth)^474</f>
        <v>24889841004355.488</v>
      </c>
      <c r="I476" s="4">
        <f>SimOpsY1*(1+SimOpsGrowth)^474</f>
        <v>2.0892064383147386E+20</v>
      </c>
      <c r="J476" s="4">
        <f>TrainDevY1*(1+TrainDevGrowth)^474</f>
        <v>1.0446032191573693E+20</v>
      </c>
      <c r="K476" s="4">
        <f>AdminY1*(1+AdminGrowth)^474</f>
        <v>1.977015759139956E+16</v>
      </c>
      <c r="L476" s="4">
        <f t="shared" si="30"/>
        <v>3.1340076079464323E+20</v>
      </c>
      <c r="M476" s="4">
        <f t="shared" si="31"/>
        <v>3.1271629302085186E+24</v>
      </c>
    </row>
    <row r="477" spans="1:13" x14ac:dyDescent="0.2">
      <c r="A477" s="3">
        <f>StartYear+475</f>
        <v>2500</v>
      </c>
      <c r="B477" s="4">
        <f>FacultyFTE*HoursPerWeek*WeeksPerYear*RatePerHour*(1+PracticeGrowth)^475</f>
        <v>3344333244415002.5</v>
      </c>
      <c r="C477" s="4">
        <f>StudentsY1*(1+StudentGrowth)^475*CreditsPerStudent*TuitionPerCredit</f>
        <v>2.0902082777593764E+16</v>
      </c>
      <c r="D477" s="4">
        <f>SimRevY1*(1+SimGrowth)^475</f>
        <v>2.2934826257768251E+24</v>
      </c>
      <c r="E477" s="4">
        <f>FacDevRevY1*(1+FacDevGrowth)^475</f>
        <v>1.1467413128884125E+24</v>
      </c>
      <c r="F477" s="4">
        <f t="shared" si="28"/>
        <v>3.4402239595673202E+24</v>
      </c>
      <c r="G477" s="4">
        <f t="shared" si="29"/>
        <v>3.4402239629116534E+24</v>
      </c>
      <c r="H477" s="4">
        <f>SalaryFTECount*SalaryPerFTE*(1+SalaryGrowth)^475</f>
        <v>25885434644529.711</v>
      </c>
      <c r="I477" s="4">
        <f>SimOpsY1*(1+SimOpsGrowth)^475</f>
        <v>2.2563429533799177E+20</v>
      </c>
      <c r="J477" s="4">
        <f>TrainDevY1*(1+TrainDevGrowth)^475</f>
        <v>1.1281714766899588E+20</v>
      </c>
      <c r="K477" s="4">
        <f>AdminY1*(1+AdminGrowth)^475</f>
        <v>2.0956367046883536E+16</v>
      </c>
      <c r="L477" s="4">
        <f t="shared" si="30"/>
        <v>3.3847242525946918E+20</v>
      </c>
      <c r="M477" s="4">
        <f t="shared" si="31"/>
        <v>3.4398854904863939E+24</v>
      </c>
    </row>
    <row r="478" spans="1:13" x14ac:dyDescent="0.2">
      <c r="A478" s="3">
        <f>StartYear+476</f>
        <v>2501</v>
      </c>
      <c r="B478" s="4">
        <f>FacultyFTE*HoursPerWeek*WeeksPerYear*RatePerHour*(1+PracticeGrowth)^476</f>
        <v>3511549906635752</v>
      </c>
      <c r="C478" s="4">
        <f>StudentsY1*(1+StudentGrowth)^476*CreditsPerStudent*TuitionPerCredit</f>
        <v>2.1947186916473448E+16</v>
      </c>
      <c r="D478" s="4">
        <f>SimRevY1*(1+SimGrowth)^476</f>
        <v>2.5228308883545078E+24</v>
      </c>
      <c r="E478" s="4">
        <f>FacDevRevY1*(1+FacDevGrowth)^476</f>
        <v>1.2614154441772539E+24</v>
      </c>
      <c r="F478" s="4">
        <f t="shared" si="28"/>
        <v>3.7842463544789484E+24</v>
      </c>
      <c r="G478" s="4">
        <f t="shared" si="29"/>
        <v>3.7842463579904981E+24</v>
      </c>
      <c r="H478" s="4">
        <f>SalaryFTECount*SalaryPerFTE*(1+SalaryGrowth)^476</f>
        <v>26920852030310.902</v>
      </c>
      <c r="I478" s="4">
        <f>SimOpsY1*(1+SimOpsGrowth)^476</f>
        <v>2.4368503896503111E+20</v>
      </c>
      <c r="J478" s="4">
        <f>TrainDevY1*(1+TrainDevGrowth)^476</f>
        <v>1.2184251948251555E+20</v>
      </c>
      <c r="K478" s="4">
        <f>AdminY1*(1+AdminGrowth)^476</f>
        <v>2.2213749069696552E+16</v>
      </c>
      <c r="L478" s="4">
        <f t="shared" si="30"/>
        <v>3.655497991174684E+20</v>
      </c>
      <c r="M478" s="4">
        <f t="shared" si="31"/>
        <v>3.7838808081913804E+24</v>
      </c>
    </row>
    <row r="479" spans="1:13" x14ac:dyDescent="0.2">
      <c r="A479" s="3">
        <f>StartYear+477</f>
        <v>2502</v>
      </c>
      <c r="B479" s="4">
        <f>FacultyFTE*HoursPerWeek*WeeksPerYear*RatePerHour*(1+PracticeGrowth)^477</f>
        <v>3687127401967540.5</v>
      </c>
      <c r="C479" s="4">
        <f>StudentsY1*(1+StudentGrowth)^477*CreditsPerStudent*TuitionPerCredit</f>
        <v>2.3044546262297128E+16</v>
      </c>
      <c r="D479" s="4">
        <f>SimRevY1*(1+SimGrowth)^477</f>
        <v>2.775113977189958E+24</v>
      </c>
      <c r="E479" s="4">
        <f>FacDevRevY1*(1+FacDevGrowth)^477</f>
        <v>1.387556988594979E+24</v>
      </c>
      <c r="F479" s="4">
        <f t="shared" si="28"/>
        <v>4.1626709888294831E+24</v>
      </c>
      <c r="G479" s="4">
        <f t="shared" si="29"/>
        <v>4.1626709925166105E+24</v>
      </c>
      <c r="H479" s="4">
        <f>SalaryFTECount*SalaryPerFTE*(1+SalaryGrowth)^477</f>
        <v>27997686111523.34</v>
      </c>
      <c r="I479" s="4">
        <f>SimOpsY1*(1+SimOpsGrowth)^477</f>
        <v>2.6317984208223361E+20</v>
      </c>
      <c r="J479" s="4">
        <f>TrainDevY1*(1+TrainDevGrowth)^477</f>
        <v>1.3158992104111681E+20</v>
      </c>
      <c r="K479" s="4">
        <f>AdminY1*(1+AdminGrowth)^477</f>
        <v>2.3546574013878344E+16</v>
      </c>
      <c r="L479" s="4">
        <f t="shared" si="30"/>
        <v>3.947933376950504E+20</v>
      </c>
      <c r="M479" s="4">
        <f t="shared" si="31"/>
        <v>4.1622761991789157E+24</v>
      </c>
    </row>
    <row r="480" spans="1:13" x14ac:dyDescent="0.2">
      <c r="A480" s="3">
        <f>StartYear+478</f>
        <v>2503</v>
      </c>
      <c r="B480" s="4">
        <f>FacultyFTE*HoursPerWeek*WeeksPerYear*RatePerHour*(1+PracticeGrowth)^478</f>
        <v>3871483772065915.5</v>
      </c>
      <c r="C480" s="4">
        <f>StudentsY1*(1+StudentGrowth)^478*CreditsPerStudent*TuitionPerCredit</f>
        <v>2.4196773575411972E+16</v>
      </c>
      <c r="D480" s="4">
        <f>SimRevY1*(1+SimGrowth)^478</f>
        <v>3.0526253749089552E+24</v>
      </c>
      <c r="E480" s="4">
        <f>FacDevRevY1*(1+FacDevGrowth)^478</f>
        <v>1.5263126874544776E+24</v>
      </c>
      <c r="F480" s="4">
        <f t="shared" si="28"/>
        <v>4.5789380865602061E+24</v>
      </c>
      <c r="G480" s="4">
        <f t="shared" si="29"/>
        <v>4.5789380904316897E+24</v>
      </c>
      <c r="H480" s="4">
        <f>SalaryFTECount*SalaryPerFTE*(1+SalaryGrowth)^478</f>
        <v>29117593555984.266</v>
      </c>
      <c r="I480" s="4">
        <f>SimOpsY1*(1+SimOpsGrowth)^478</f>
        <v>2.8423422944881236E+20</v>
      </c>
      <c r="J480" s="4">
        <f>TrainDevY1*(1+TrainDevGrowth)^478</f>
        <v>1.4211711472440618E+20</v>
      </c>
      <c r="K480" s="4">
        <f>AdminY1*(1+AdminGrowth)^478</f>
        <v>2.4959368454711048E+16</v>
      </c>
      <c r="L480" s="4">
        <f t="shared" si="30"/>
        <v>4.2637633265926681E+20</v>
      </c>
      <c r="M480" s="4">
        <f t="shared" si="31"/>
        <v>4.5785117140990302E+24</v>
      </c>
    </row>
    <row r="481" spans="1:13" x14ac:dyDescent="0.2">
      <c r="A481" s="3">
        <f>StartYear+479</f>
        <v>2504</v>
      </c>
      <c r="B481" s="4">
        <f>FacultyFTE*HoursPerWeek*WeeksPerYear*RatePerHour*(1+PracticeGrowth)^479</f>
        <v>4065057960669213.5</v>
      </c>
      <c r="C481" s="4">
        <f>StudentsY1*(1+StudentGrowth)^479*CreditsPerStudent*TuitionPerCredit</f>
        <v>2.5406612254182584E+16</v>
      </c>
      <c r="D481" s="4">
        <f>SimRevY1*(1+SimGrowth)^479</f>
        <v>3.3578879123998503E+24</v>
      </c>
      <c r="E481" s="4">
        <f>FacDevRevY1*(1+FacDevGrowth)^479</f>
        <v>1.6789439561999252E+24</v>
      </c>
      <c r="F481" s="4">
        <f t="shared" si="28"/>
        <v>5.0368318940063877E+24</v>
      </c>
      <c r="G481" s="4">
        <f t="shared" si="29"/>
        <v>5.0368318980714454E+24</v>
      </c>
      <c r="H481" s="4">
        <f>SalaryFTECount*SalaryPerFTE*(1+SalaryGrowth)^479</f>
        <v>30282297298223.645</v>
      </c>
      <c r="I481" s="4">
        <f>SimOpsY1*(1+SimOpsGrowth)^479</f>
        <v>3.0697296780471737E+20</v>
      </c>
      <c r="J481" s="4">
        <f>TrainDevY1*(1+TrainDevGrowth)^479</f>
        <v>1.5348648390235868E+20</v>
      </c>
      <c r="K481" s="4">
        <f>AdminY1*(1+AdminGrowth)^479</f>
        <v>2.6456930561993716E+16</v>
      </c>
      <c r="L481" s="4">
        <f t="shared" si="30"/>
        <v>4.6048593891993538E+20</v>
      </c>
      <c r="M481" s="4">
        <f t="shared" si="31"/>
        <v>5.0363714121325256E+24</v>
      </c>
    </row>
    <row r="482" spans="1:13" x14ac:dyDescent="0.2">
      <c r="A482" s="3">
        <f>StartYear+480</f>
        <v>2505</v>
      </c>
      <c r="B482" s="4">
        <f>FacultyFTE*HoursPerWeek*WeeksPerYear*RatePerHour*(1+PracticeGrowth)^480</f>
        <v>4268310858702673.5</v>
      </c>
      <c r="C482" s="4">
        <f>StudentsY1*(1+StudentGrowth)^480*CreditsPerStudent*TuitionPerCredit</f>
        <v>2.6676942866891708E+16</v>
      </c>
      <c r="D482" s="4">
        <f>SimRevY1*(1+SimGrowth)^480</f>
        <v>3.6936767036398356E+24</v>
      </c>
      <c r="E482" s="4">
        <f>FacDevRevY1*(1+FacDevGrowth)^480</f>
        <v>1.8468383518199178E+24</v>
      </c>
      <c r="F482" s="4">
        <f t="shared" si="28"/>
        <v>5.5405150821366959E+24</v>
      </c>
      <c r="G482" s="4">
        <f t="shared" si="29"/>
        <v>5.5405150864050064E+24</v>
      </c>
      <c r="H482" s="4">
        <f>SalaryFTECount*SalaryPerFTE*(1+SalaryGrowth)^480</f>
        <v>31493589190152.598</v>
      </c>
      <c r="I482" s="4">
        <f>SimOpsY1*(1+SimOpsGrowth)^480</f>
        <v>3.3153080522909476E+20</v>
      </c>
      <c r="J482" s="4">
        <f>TrainDevY1*(1+TrainDevGrowth)^480</f>
        <v>1.6576540261454738E+20</v>
      </c>
      <c r="K482" s="4">
        <f>AdminY1*(1+AdminGrowth)^480</f>
        <v>2.8044346395713336E+16</v>
      </c>
      <c r="L482" s="4">
        <f t="shared" si="30"/>
        <v>4.9732428368362707E+20</v>
      </c>
      <c r="M482" s="4">
        <f t="shared" si="31"/>
        <v>5.5400177621213228E+24</v>
      </c>
    </row>
    <row r="483" spans="1:13" x14ac:dyDescent="0.2">
      <c r="A483" s="3">
        <f>StartYear+481</f>
        <v>2506</v>
      </c>
      <c r="B483" s="4">
        <f>FacultyFTE*HoursPerWeek*WeeksPerYear*RatePerHour*(1+PracticeGrowth)^481</f>
        <v>4481726401637807.5</v>
      </c>
      <c r="C483" s="4">
        <f>StudentsY1*(1+StudentGrowth)^481*CreditsPerStudent*TuitionPerCredit</f>
        <v>2.80107900102363E+16</v>
      </c>
      <c r="D483" s="4">
        <f>SimRevY1*(1+SimGrowth)^481</f>
        <v>4.0630443740038191E+24</v>
      </c>
      <c r="E483" s="4">
        <f>FacDevRevY1*(1+FacDevGrowth)^481</f>
        <v>2.0315221870019095E+24</v>
      </c>
      <c r="F483" s="4">
        <f t="shared" si="28"/>
        <v>6.0945665890165186E+24</v>
      </c>
      <c r="G483" s="4">
        <f t="shared" si="29"/>
        <v>6.094566593498245E+24</v>
      </c>
      <c r="H483" s="4">
        <f>SalaryFTECount*SalaryPerFTE*(1+SalaryGrowth)^481</f>
        <v>32753332757758.695</v>
      </c>
      <c r="I483" s="4">
        <f>SimOpsY1*(1+SimOpsGrowth)^481</f>
        <v>3.5805326964742239E+20</v>
      </c>
      <c r="J483" s="4">
        <f>TrainDevY1*(1+TrainDevGrowth)^481</f>
        <v>1.790266348237112E+20</v>
      </c>
      <c r="K483" s="4">
        <f>AdminY1*(1+AdminGrowth)^481</f>
        <v>2.9727007179456132E+16</v>
      </c>
      <c r="L483" s="4">
        <f t="shared" si="30"/>
        <v>5.3710966423164584E+20</v>
      </c>
      <c r="M483" s="4">
        <f t="shared" si="31"/>
        <v>6.0940294838340134E+24</v>
      </c>
    </row>
    <row r="484" spans="1:13" x14ac:dyDescent="0.2">
      <c r="A484" s="3">
        <f>StartYear+482</f>
        <v>2507</v>
      </c>
      <c r="B484" s="4">
        <f>FacultyFTE*HoursPerWeek*WeeksPerYear*RatePerHour*(1+PracticeGrowth)^482</f>
        <v>4705812721719698</v>
      </c>
      <c r="C484" s="4">
        <f>StudentsY1*(1+StudentGrowth)^482*CreditsPerStudent*TuitionPerCredit</f>
        <v>2.9411329510748108E+16</v>
      </c>
      <c r="D484" s="4">
        <f>SimRevY1*(1+SimGrowth)^482</f>
        <v>4.4693488114042013E+24</v>
      </c>
      <c r="E484" s="4">
        <f>FacDevRevY1*(1+FacDevGrowth)^482</f>
        <v>2.2346744057021007E+24</v>
      </c>
      <c r="F484" s="4">
        <f t="shared" si="28"/>
        <v>6.7040232465176311E+24</v>
      </c>
      <c r="G484" s="4">
        <f t="shared" si="29"/>
        <v>6.7040232512234442E+24</v>
      </c>
      <c r="H484" s="4">
        <f>SalaryFTECount*SalaryPerFTE*(1+SalaryGrowth)^482</f>
        <v>34063466068069.047</v>
      </c>
      <c r="I484" s="4">
        <f>SimOpsY1*(1+SimOpsGrowth)^482</f>
        <v>3.8669753121921611E+20</v>
      </c>
      <c r="J484" s="4">
        <f>TrainDevY1*(1+TrainDevGrowth)^482</f>
        <v>1.9334876560960805E+20</v>
      </c>
      <c r="K484" s="4">
        <f>AdminY1*(1+AdminGrowth)^482</f>
        <v>3.15106276102235E+16</v>
      </c>
      <c r="L484" s="4">
        <f t="shared" si="30"/>
        <v>5.8007784151990043E+20</v>
      </c>
      <c r="M484" s="4">
        <f t="shared" si="31"/>
        <v>6.703443173381924E+24</v>
      </c>
    </row>
    <row r="485" spans="1:13" x14ac:dyDescent="0.2">
      <c r="A485" s="3">
        <f>StartYear+483</f>
        <v>2508</v>
      </c>
      <c r="B485" s="4">
        <f>FacultyFTE*HoursPerWeek*WeeksPerYear*RatePerHour*(1+PracticeGrowth)^483</f>
        <v>4941103357805684</v>
      </c>
      <c r="C485" s="4">
        <f>StudentsY1*(1+StudentGrowth)^483*CreditsPerStudent*TuitionPerCredit</f>
        <v>3.0881895986285528E+16</v>
      </c>
      <c r="D485" s="4">
        <f>SimRevY1*(1+SimGrowth)^483</f>
        <v>4.9162836925446231E+24</v>
      </c>
      <c r="E485" s="4">
        <f>FacDevRevY1*(1+FacDevGrowth)^483</f>
        <v>2.4581418462723116E+24</v>
      </c>
      <c r="F485" s="4">
        <f t="shared" si="28"/>
        <v>7.3744255696988308E+24</v>
      </c>
      <c r="G485" s="4">
        <f t="shared" si="29"/>
        <v>7.374425574639934E+24</v>
      </c>
      <c r="H485" s="4">
        <f>SalaryFTECount*SalaryPerFTE*(1+SalaryGrowth)^483</f>
        <v>35426004710791.812</v>
      </c>
      <c r="I485" s="4">
        <f>SimOpsY1*(1+SimOpsGrowth)^483</f>
        <v>4.1763333371675358E+20</v>
      </c>
      <c r="J485" s="4">
        <f>TrainDevY1*(1+TrainDevGrowth)^483</f>
        <v>2.0881666685837679E+20</v>
      </c>
      <c r="K485" s="4">
        <f>AdminY1*(1+AdminGrowth)^483</f>
        <v>3.3401265266836916E+16</v>
      </c>
      <c r="L485" s="4">
        <f t="shared" si="30"/>
        <v>6.2648343726640202E+20</v>
      </c>
      <c r="M485" s="4">
        <f t="shared" si="31"/>
        <v>7.3737990912026675E+24</v>
      </c>
    </row>
    <row r="486" spans="1:13" x14ac:dyDescent="0.2">
      <c r="A486" s="3">
        <f>StartYear+484</f>
        <v>2509</v>
      </c>
      <c r="B486" s="4">
        <f>FacultyFTE*HoursPerWeek*WeeksPerYear*RatePerHour*(1+PracticeGrowth)^484</f>
        <v>5188158525695967</v>
      </c>
      <c r="C486" s="4">
        <f>StudentsY1*(1+StudentGrowth)^484*CreditsPerStudent*TuitionPerCredit</f>
        <v>3.2425990785599792E+16</v>
      </c>
      <c r="D486" s="4">
        <f>SimRevY1*(1+SimGrowth)^484</f>
        <v>5.4079120617990844E+24</v>
      </c>
      <c r="E486" s="4">
        <f>FacDevRevY1*(1+FacDevGrowth)^484</f>
        <v>2.7039560308995422E+24</v>
      </c>
      <c r="F486" s="4">
        <f t="shared" si="28"/>
        <v>8.1118681251246171E+24</v>
      </c>
      <c r="G486" s="4">
        <f t="shared" si="29"/>
        <v>8.1118681303127754E+24</v>
      </c>
      <c r="H486" s="4">
        <f>SalaryFTECount*SalaryPerFTE*(1+SalaryGrowth)^484</f>
        <v>36843044899223.484</v>
      </c>
      <c r="I486" s="4">
        <f>SimOpsY1*(1+SimOpsGrowth)^484</f>
        <v>4.5104400041409387E+20</v>
      </c>
      <c r="J486" s="4">
        <f>TrainDevY1*(1+TrainDevGrowth)^484</f>
        <v>2.2552200020704693E+20</v>
      </c>
      <c r="K486" s="4">
        <f>AdminY1*(1+AdminGrowth)^484</f>
        <v>3.540534118284714E+16</v>
      </c>
      <c r="L486" s="4">
        <f t="shared" si="30"/>
        <v>6.7660144280536849E+20</v>
      </c>
      <c r="M486" s="4">
        <f t="shared" si="31"/>
        <v>8.1111915288699701E+24</v>
      </c>
    </row>
    <row r="487" spans="1:13" x14ac:dyDescent="0.2">
      <c r="A487" s="3">
        <f>StartYear+485</f>
        <v>2510</v>
      </c>
      <c r="B487" s="4">
        <f>FacultyFTE*HoursPerWeek*WeeksPerYear*RatePerHour*(1+PracticeGrowth)^485</f>
        <v>5447566451980764</v>
      </c>
      <c r="C487" s="4">
        <f>StudentsY1*(1+StudentGrowth)^485*CreditsPerStudent*TuitionPerCredit</f>
        <v>3.4047290324879776E+16</v>
      </c>
      <c r="D487" s="4">
        <f>SimRevY1*(1+SimGrowth)^485</f>
        <v>5.9487032679789934E+24</v>
      </c>
      <c r="E487" s="4">
        <f>FacDevRevY1*(1+FacDevGrowth)^485</f>
        <v>2.9743516339894967E+24</v>
      </c>
      <c r="F487" s="4">
        <f t="shared" si="28"/>
        <v>8.9230549360157798E+24</v>
      </c>
      <c r="G487" s="4">
        <f t="shared" si="29"/>
        <v>8.9230549414633467E+24</v>
      </c>
      <c r="H487" s="4">
        <f>SalaryFTECount*SalaryPerFTE*(1+SalaryGrowth)^485</f>
        <v>38316766695192.43</v>
      </c>
      <c r="I487" s="4">
        <f>SimOpsY1*(1+SimOpsGrowth)^485</f>
        <v>4.8712752044722133E+20</v>
      </c>
      <c r="J487" s="4">
        <f>TrainDevY1*(1+TrainDevGrowth)^485</f>
        <v>2.4356376022361067E+20</v>
      </c>
      <c r="K487" s="4">
        <f>AdminY1*(1+AdminGrowth)^485</f>
        <v>3.752966165381796E+16</v>
      </c>
      <c r="L487" s="4">
        <f t="shared" si="30"/>
        <v>7.307288486492525E+20</v>
      </c>
      <c r="M487" s="4">
        <f t="shared" si="31"/>
        <v>8.9223242126146973E+24</v>
      </c>
    </row>
    <row r="488" spans="1:13" x14ac:dyDescent="0.2">
      <c r="A488" s="3">
        <f>StartYear+486</f>
        <v>2511</v>
      </c>
      <c r="B488" s="4">
        <f>FacultyFTE*HoursPerWeek*WeeksPerYear*RatePerHour*(1+PracticeGrowth)^486</f>
        <v>5719944774579803</v>
      </c>
      <c r="C488" s="4">
        <f>StudentsY1*(1+StudentGrowth)^486*CreditsPerStudent*TuitionPerCredit</f>
        <v>3.5749654841123764E+16</v>
      </c>
      <c r="D488" s="4">
        <f>SimRevY1*(1+SimGrowth)^486</f>
        <v>6.5435735947768931E+24</v>
      </c>
      <c r="E488" s="4">
        <f>FacDevRevY1*(1+FacDevGrowth)^486</f>
        <v>3.2717867973884465E+24</v>
      </c>
      <c r="F488" s="4">
        <f t="shared" si="28"/>
        <v>9.8153604279149949E+24</v>
      </c>
      <c r="G488" s="4">
        <f t="shared" si="29"/>
        <v>9.81536043363494E+24</v>
      </c>
      <c r="H488" s="4">
        <f>SalaryFTECount*SalaryPerFTE*(1+SalaryGrowth)^486</f>
        <v>39849437363000.109</v>
      </c>
      <c r="I488" s="4">
        <f>SimOpsY1*(1+SimOpsGrowth)^486</f>
        <v>5.2609772208299914E+20</v>
      </c>
      <c r="J488" s="4">
        <f>TrainDevY1*(1+TrainDevGrowth)^486</f>
        <v>2.6304886104149957E+20</v>
      </c>
      <c r="K488" s="4">
        <f>AdminY1*(1+AdminGrowth)^486</f>
        <v>3.9781441353047048E+16</v>
      </c>
      <c r="L488" s="4">
        <f t="shared" si="30"/>
        <v>7.8918640441528916E+20</v>
      </c>
      <c r="M488" s="4">
        <f t="shared" si="31"/>
        <v>9.8145712472305243E+24</v>
      </c>
    </row>
    <row r="489" spans="1:13" x14ac:dyDescent="0.2">
      <c r="A489" s="3">
        <f>StartYear+487</f>
        <v>2512</v>
      </c>
      <c r="B489" s="4">
        <f>FacultyFTE*HoursPerWeek*WeeksPerYear*RatePerHour*(1+PracticeGrowth)^487</f>
        <v>6005942013308794</v>
      </c>
      <c r="C489" s="4">
        <f>StudentsY1*(1+StudentGrowth)^487*CreditsPerStudent*TuitionPerCredit</f>
        <v>3.7537137583179968E+16</v>
      </c>
      <c r="D489" s="4">
        <f>SimRevY1*(1+SimGrowth)^487</f>
        <v>7.1979309542545837E+24</v>
      </c>
      <c r="E489" s="4">
        <f>FacDevRevY1*(1+FacDevGrowth)^487</f>
        <v>3.5989654771272918E+24</v>
      </c>
      <c r="F489" s="4">
        <f t="shared" si="28"/>
        <v>1.0796896468919013E+25</v>
      </c>
      <c r="G489" s="4">
        <f t="shared" si="29"/>
        <v>1.0796896474924956E+25</v>
      </c>
      <c r="H489" s="4">
        <f>SalaryFTECount*SalaryPerFTE*(1+SalaryGrowth)^487</f>
        <v>41443414857520.125</v>
      </c>
      <c r="I489" s="4">
        <f>SimOpsY1*(1+SimOpsGrowth)^487</f>
        <v>5.6818553984963903E+20</v>
      </c>
      <c r="J489" s="4">
        <f>TrainDevY1*(1+TrainDevGrowth)^487</f>
        <v>2.8409276992481952E+20</v>
      </c>
      <c r="K489" s="4">
        <f>AdminY1*(1+AdminGrowth)^487</f>
        <v>4.216832783422988E+16</v>
      </c>
      <c r="L489" s="4">
        <f t="shared" si="30"/>
        <v>8.5232051954570756E+20</v>
      </c>
      <c r="M489" s="4">
        <f t="shared" si="31"/>
        <v>1.0796044154405411E+25</v>
      </c>
    </row>
    <row r="490" spans="1:13" x14ac:dyDescent="0.2">
      <c r="A490" s="3">
        <f>StartYear+488</f>
        <v>2513</v>
      </c>
      <c r="B490" s="4">
        <f>FacultyFTE*HoursPerWeek*WeeksPerYear*RatePerHour*(1+PracticeGrowth)^488</f>
        <v>6306239113974233</v>
      </c>
      <c r="C490" s="4">
        <f>StudentsY1*(1+StudentGrowth)^488*CreditsPerStudent*TuitionPerCredit</f>
        <v>3.9413994462338952E+16</v>
      </c>
      <c r="D490" s="4">
        <f>SimRevY1*(1+SimGrowth)^488</f>
        <v>7.9177240496800413E+24</v>
      </c>
      <c r="E490" s="4">
        <f>FacDevRevY1*(1+FacDevGrowth)^488</f>
        <v>3.9588620248400207E+24</v>
      </c>
      <c r="F490" s="4">
        <f t="shared" si="28"/>
        <v>1.1876586113934056E+25</v>
      </c>
      <c r="G490" s="4">
        <f t="shared" si="29"/>
        <v>1.1876586120240294E+25</v>
      </c>
      <c r="H490" s="4">
        <f>SalaryFTECount*SalaryPerFTE*(1+SalaryGrowth)^488</f>
        <v>43101151451820.945</v>
      </c>
      <c r="I490" s="4">
        <f>SimOpsY1*(1+SimOpsGrowth)^488</f>
        <v>6.1364038303761013E+20</v>
      </c>
      <c r="J490" s="4">
        <f>TrainDevY1*(1+TrainDevGrowth)^488</f>
        <v>3.0682019151880507E+20</v>
      </c>
      <c r="K490" s="4">
        <f>AdminY1*(1+AdminGrowth)^488</f>
        <v>4.4698427504283664E+16</v>
      </c>
      <c r="L490" s="4">
        <f t="shared" si="30"/>
        <v>9.2050531608507095E+20</v>
      </c>
      <c r="M490" s="4">
        <f t="shared" si="31"/>
        <v>1.1875665614924209E+25</v>
      </c>
    </row>
    <row r="491" spans="1:13" x14ac:dyDescent="0.2">
      <c r="A491" s="3">
        <f>StartYear+489</f>
        <v>2514</v>
      </c>
      <c r="B491" s="4">
        <f>FacultyFTE*HoursPerWeek*WeeksPerYear*RatePerHour*(1+PracticeGrowth)^489</f>
        <v>6621551069672945</v>
      </c>
      <c r="C491" s="4">
        <f>StudentsY1*(1+StudentGrowth)^489*CreditsPerStudent*TuitionPerCredit</f>
        <v>4.1384694185455912E+16</v>
      </c>
      <c r="D491" s="4">
        <f>SimRevY1*(1+SimGrowth)^489</f>
        <v>8.7094964546480456E+24</v>
      </c>
      <c r="E491" s="4">
        <f>FacDevRevY1*(1+FacDevGrowth)^489</f>
        <v>4.3547482273240228E+24</v>
      </c>
      <c r="F491" s="4">
        <f t="shared" si="28"/>
        <v>1.3064244723356763E+25</v>
      </c>
      <c r="G491" s="4">
        <f t="shared" si="29"/>
        <v>1.3064244729978314E+25</v>
      </c>
      <c r="H491" s="4">
        <f>SalaryFTECount*SalaryPerFTE*(1+SalaryGrowth)^489</f>
        <v>44825197509893.781</v>
      </c>
      <c r="I491" s="4">
        <f>SimOpsY1*(1+SimOpsGrowth)^489</f>
        <v>6.6273161368061909E+20</v>
      </c>
      <c r="J491" s="4">
        <f>TrainDevY1*(1+TrainDevGrowth)^489</f>
        <v>3.3136580684030955E+20</v>
      </c>
      <c r="K491" s="4">
        <f>AdminY1*(1+AdminGrowth)^489</f>
        <v>4.738033315454068E+16</v>
      </c>
      <c r="L491" s="4">
        <f t="shared" si="30"/>
        <v>9.9414484567928078E+20</v>
      </c>
      <c r="M491" s="4">
        <f t="shared" si="31"/>
        <v>1.3063250585132635E+25</v>
      </c>
    </row>
    <row r="492" spans="1:13" x14ac:dyDescent="0.2">
      <c r="A492" s="3">
        <f>StartYear+490</f>
        <v>2515</v>
      </c>
      <c r="B492" s="4">
        <f>FacultyFTE*HoursPerWeek*WeeksPerYear*RatePerHour*(1+PracticeGrowth)^490</f>
        <v>6952628623156593</v>
      </c>
      <c r="C492" s="4">
        <f>StudentsY1*(1+StudentGrowth)^490*CreditsPerStudent*TuitionPerCredit</f>
        <v>4.3453928894728704E+16</v>
      </c>
      <c r="D492" s="4">
        <f>SimRevY1*(1+SimGrowth)^490</f>
        <v>9.5804461001128523E+24</v>
      </c>
      <c r="E492" s="4">
        <f>FacDevRevY1*(1+FacDevGrowth)^490</f>
        <v>4.7902230500564261E+24</v>
      </c>
      <c r="F492" s="4">
        <f t="shared" si="28"/>
        <v>1.4370669193623207E+25</v>
      </c>
      <c r="G492" s="4">
        <f t="shared" si="29"/>
        <v>1.4370669200575836E+25</v>
      </c>
      <c r="H492" s="4">
        <f>SalaryFTECount*SalaryPerFTE*(1+SalaryGrowth)^490</f>
        <v>46618205410289.523</v>
      </c>
      <c r="I492" s="4">
        <f>SimOpsY1*(1+SimOpsGrowth)^490</f>
        <v>7.1575014277506846E+20</v>
      </c>
      <c r="J492" s="4">
        <f>TrainDevY1*(1+TrainDevGrowth)^490</f>
        <v>3.5787507138753423E+20</v>
      </c>
      <c r="K492" s="4">
        <f>AdminY1*(1+AdminGrowth)^490</f>
        <v>5.0223153143813128E+16</v>
      </c>
      <c r="L492" s="4">
        <f t="shared" si="30"/>
        <v>1.0736754839339519E+21</v>
      </c>
      <c r="M492" s="4">
        <f t="shared" si="31"/>
        <v>1.4369595525091903E+25</v>
      </c>
    </row>
    <row r="493" spans="1:13" x14ac:dyDescent="0.2">
      <c r="A493" s="3">
        <f>StartYear+491</f>
        <v>2516</v>
      </c>
      <c r="B493" s="4">
        <f>FacultyFTE*HoursPerWeek*WeeksPerYear*RatePerHour*(1+PracticeGrowth)^491</f>
        <v>7300260054314423</v>
      </c>
      <c r="C493" s="4">
        <f>StudentsY1*(1+StudentGrowth)^491*CreditsPerStudent*TuitionPerCredit</f>
        <v>4.5626625339465152E+16</v>
      </c>
      <c r="D493" s="4">
        <f>SimRevY1*(1+SimGrowth)^491</f>
        <v>1.0538490710124137E+25</v>
      </c>
      <c r="E493" s="4">
        <f>FacDevRevY1*(1+FacDevGrowth)^491</f>
        <v>5.2692453550620686E+24</v>
      </c>
      <c r="F493" s="4">
        <f t="shared" si="28"/>
        <v>1.580773611081283E+25</v>
      </c>
      <c r="G493" s="4">
        <f t="shared" si="29"/>
        <v>1.5807736118113089E+25</v>
      </c>
      <c r="H493" s="4">
        <f>SalaryFTECount*SalaryPerFTE*(1+SalaryGrowth)^491</f>
        <v>48482933626701.117</v>
      </c>
      <c r="I493" s="4">
        <f>SimOpsY1*(1+SimOpsGrowth)^491</f>
        <v>7.7301015419707392E+20</v>
      </c>
      <c r="J493" s="4">
        <f>TrainDevY1*(1+TrainDevGrowth)^491</f>
        <v>3.8650507709853696E+20</v>
      </c>
      <c r="K493" s="4">
        <f>AdminY1*(1+AdminGrowth)^491</f>
        <v>5.323654233244192E+16</v>
      </c>
      <c r="L493" s="4">
        <f t="shared" si="30"/>
        <v>1.1595685163208771E+21</v>
      </c>
      <c r="M493" s="4">
        <f t="shared" si="31"/>
        <v>1.5806576549596767E+25</v>
      </c>
    </row>
    <row r="494" spans="1:13" x14ac:dyDescent="0.2">
      <c r="A494" s="3">
        <f>StartYear+492</f>
        <v>2517</v>
      </c>
      <c r="B494" s="4">
        <f>FacultyFTE*HoursPerWeek*WeeksPerYear*RatePerHour*(1+PracticeGrowth)^492</f>
        <v>7665273057030142</v>
      </c>
      <c r="C494" s="4">
        <f>StudentsY1*(1+StudentGrowth)^492*CreditsPerStudent*TuitionPerCredit</f>
        <v>4.7907956606438392E+16</v>
      </c>
      <c r="D494" s="4">
        <f>SimRevY1*(1+SimGrowth)^492</f>
        <v>1.1592339781136552E+25</v>
      </c>
      <c r="E494" s="4">
        <f>FacDevRevY1*(1+FacDevGrowth)^492</f>
        <v>5.7961698905682758E+24</v>
      </c>
      <c r="F494" s="4">
        <f t="shared" si="28"/>
        <v>1.7388509719612786E+25</v>
      </c>
      <c r="G494" s="4">
        <f t="shared" si="29"/>
        <v>1.7388509727278059E+25</v>
      </c>
      <c r="H494" s="4">
        <f>SalaryFTECount*SalaryPerFTE*(1+SalaryGrowth)^492</f>
        <v>50422250971769.164</v>
      </c>
      <c r="I494" s="4">
        <f>SimOpsY1*(1+SimOpsGrowth)^492</f>
        <v>8.348509665328401E+20</v>
      </c>
      <c r="J494" s="4">
        <f>TrainDevY1*(1+TrainDevGrowth)^492</f>
        <v>4.1742548326642005E+20</v>
      </c>
      <c r="K494" s="4">
        <f>AdminY1*(1+AdminGrowth)^492</f>
        <v>5.6430734872388448E+16</v>
      </c>
      <c r="L494" s="4">
        <f t="shared" si="30"/>
        <v>1.2523329309563835E+21</v>
      </c>
      <c r="M494" s="4">
        <f t="shared" si="31"/>
        <v>1.7387257394347103E+25</v>
      </c>
    </row>
    <row r="495" spans="1:13" x14ac:dyDescent="0.2">
      <c r="A495" s="3">
        <f>StartYear+493</f>
        <v>2518</v>
      </c>
      <c r="B495" s="4">
        <f>FacultyFTE*HoursPerWeek*WeeksPerYear*RatePerHour*(1+PracticeGrowth)^493</f>
        <v>8048536709881652</v>
      </c>
      <c r="C495" s="4">
        <f>StudentsY1*(1+StudentGrowth)^493*CreditsPerStudent*TuitionPerCredit</f>
        <v>5.030335443676032E+16</v>
      </c>
      <c r="D495" s="4">
        <f>SimRevY1*(1+SimGrowth)^493</f>
        <v>1.2751573759250208E+25</v>
      </c>
      <c r="E495" s="4">
        <f>FacDevRevY1*(1+FacDevGrowth)^493</f>
        <v>6.3757868796251042E+24</v>
      </c>
      <c r="F495" s="4">
        <f t="shared" si="28"/>
        <v>1.9127360689178667E+25</v>
      </c>
      <c r="G495" s="4">
        <f t="shared" si="29"/>
        <v>1.9127360697227204E+25</v>
      </c>
      <c r="H495" s="4">
        <f>SalaryFTECount*SalaryPerFTE*(1+SalaryGrowth)^493</f>
        <v>52439141010639.93</v>
      </c>
      <c r="I495" s="4">
        <f>SimOpsY1*(1+SimOpsGrowth)^493</f>
        <v>9.0163904385546728E+20</v>
      </c>
      <c r="J495" s="4">
        <f>TrainDevY1*(1+TrainDevGrowth)^493</f>
        <v>4.5081952192773364E+20</v>
      </c>
      <c r="K495" s="4">
        <f>AdminY1*(1+AdminGrowth)^493</f>
        <v>5.981657896473176E+16</v>
      </c>
      <c r="L495" s="4">
        <f t="shared" si="30"/>
        <v>1.3525184348013068E+21</v>
      </c>
      <c r="M495" s="4">
        <f t="shared" si="31"/>
        <v>1.9126008178792403E+25</v>
      </c>
    </row>
    <row r="496" spans="1:13" x14ac:dyDescent="0.2">
      <c r="A496" s="3">
        <f>StartYear+494</f>
        <v>2519</v>
      </c>
      <c r="B496" s="4">
        <f>FacultyFTE*HoursPerWeek*WeeksPerYear*RatePerHour*(1+PracticeGrowth)^494</f>
        <v>8450963545375731</v>
      </c>
      <c r="C496" s="4">
        <f>StudentsY1*(1+StudentGrowth)^494*CreditsPerStudent*TuitionPerCredit</f>
        <v>5.281852215859832E+16</v>
      </c>
      <c r="D496" s="4">
        <f>SimRevY1*(1+SimGrowth)^494</f>
        <v>1.4026731135175231E+25</v>
      </c>
      <c r="E496" s="4">
        <f>FacDevRevY1*(1+FacDevGrowth)^494</f>
        <v>7.0133655675876156E+24</v>
      </c>
      <c r="F496" s="4">
        <f t="shared" si="28"/>
        <v>2.1040096755581368E+25</v>
      </c>
      <c r="G496" s="4">
        <f t="shared" si="29"/>
        <v>2.104009676403233E+25</v>
      </c>
      <c r="H496" s="4">
        <f>SalaryFTECount*SalaryPerFTE*(1+SalaryGrowth)^494</f>
        <v>54536706651065.531</v>
      </c>
      <c r="I496" s="4">
        <f>SimOpsY1*(1+SimOpsGrowth)^494</f>
        <v>9.7377016736390473E+20</v>
      </c>
      <c r="J496" s="4">
        <f>TrainDevY1*(1+TrainDevGrowth)^494</f>
        <v>4.8688508368195237E+20</v>
      </c>
      <c r="K496" s="4">
        <f>AdminY1*(1+AdminGrowth)^494</f>
        <v>6.3405573702615664E+16</v>
      </c>
      <c r="L496" s="4">
        <f t="shared" si="30"/>
        <v>1.4607187111562662E+21</v>
      </c>
      <c r="M496" s="4">
        <f t="shared" si="31"/>
        <v>2.1038636045321173E+25</v>
      </c>
    </row>
    <row r="497" spans="1:13" x14ac:dyDescent="0.2">
      <c r="A497" s="3">
        <f>StartYear+495</f>
        <v>2520</v>
      </c>
      <c r="B497" s="4">
        <f>FacultyFTE*HoursPerWeek*WeeksPerYear*RatePerHour*(1+PracticeGrowth)^495</f>
        <v>8873511722644522</v>
      </c>
      <c r="C497" s="4">
        <f>StudentsY1*(1+StudentGrowth)^495*CreditsPerStudent*TuitionPerCredit</f>
        <v>5.5459448266528264E+16</v>
      </c>
      <c r="D497" s="4">
        <f>SimRevY1*(1+SimGrowth)^495</f>
        <v>1.5429404248692755E+25</v>
      </c>
      <c r="E497" s="4">
        <f>FacDevRevY1*(1+FacDevGrowth)^495</f>
        <v>7.7147021243463777E+24</v>
      </c>
      <c r="F497" s="4">
        <f t="shared" si="28"/>
        <v>2.3144106428498579E+25</v>
      </c>
      <c r="G497" s="4">
        <f t="shared" si="29"/>
        <v>2.3144106437372089E+25</v>
      </c>
      <c r="H497" s="4">
        <f>SalaryFTECount*SalaryPerFTE*(1+SalaryGrowth)^495</f>
        <v>56718174917108.148</v>
      </c>
      <c r="I497" s="4">
        <f>SimOpsY1*(1+SimOpsGrowth)^495</f>
        <v>1.0516717807530173E+21</v>
      </c>
      <c r="J497" s="4">
        <f>TrainDevY1*(1+TrainDevGrowth)^495</f>
        <v>5.2583589037650864E+20</v>
      </c>
      <c r="K497" s="4">
        <f>AdminY1*(1+AdminGrowth)^495</f>
        <v>6.7209908124772616E+16</v>
      </c>
      <c r="L497" s="4">
        <f t="shared" si="30"/>
        <v>1.5775749377558255E+21</v>
      </c>
      <c r="M497" s="4">
        <f t="shared" si="31"/>
        <v>2.3142528862434333E+25</v>
      </c>
    </row>
    <row r="498" spans="1:13" x14ac:dyDescent="0.2">
      <c r="A498" s="3">
        <f>StartYear+496</f>
        <v>2521</v>
      </c>
      <c r="B498" s="4">
        <f>FacultyFTE*HoursPerWeek*WeeksPerYear*RatePerHour*(1+PracticeGrowth)^496</f>
        <v>9317187308776748</v>
      </c>
      <c r="C498" s="4">
        <f>StudentsY1*(1+StudentGrowth)^496*CreditsPerStudent*TuitionPerCredit</f>
        <v>5.823242067985468E+16</v>
      </c>
      <c r="D498" s="4">
        <f>SimRevY1*(1+SimGrowth)^496</f>
        <v>1.6972344673562031E+25</v>
      </c>
      <c r="E498" s="4">
        <f>FacDevRevY1*(1+FacDevGrowth)^496</f>
        <v>8.4861723367810155E+24</v>
      </c>
      <c r="F498" s="4">
        <f t="shared" si="28"/>
        <v>2.5458517068575466E+25</v>
      </c>
      <c r="G498" s="4">
        <f t="shared" si="29"/>
        <v>2.5458517077892655E+25</v>
      </c>
      <c r="H498" s="4">
        <f>SalaryFTECount*SalaryPerFTE*(1+SalaryGrowth)^496</f>
        <v>58986901913792.477</v>
      </c>
      <c r="I498" s="4">
        <f>SimOpsY1*(1+SimOpsGrowth)^496</f>
        <v>1.1358055232132587E+21</v>
      </c>
      <c r="J498" s="4">
        <f>TrainDevY1*(1+TrainDevGrowth)^496</f>
        <v>5.6790276160662936E+20</v>
      </c>
      <c r="K498" s="4">
        <f>AdminY1*(1+AdminGrowth)^496</f>
        <v>7.1242502612258952E+16</v>
      </c>
      <c r="L498" s="4">
        <f t="shared" si="30"/>
        <v>1.7037795863094021E+21</v>
      </c>
      <c r="M498" s="4">
        <f t="shared" si="31"/>
        <v>2.5456813298306344E+25</v>
      </c>
    </row>
    <row r="499" spans="1:13" x14ac:dyDescent="0.2">
      <c r="A499" s="3">
        <f>StartYear+497</f>
        <v>2522</v>
      </c>
      <c r="B499" s="4">
        <f>FacultyFTE*HoursPerWeek*WeeksPerYear*RatePerHour*(1+PracticeGrowth)^497</f>
        <v>9783046674215586</v>
      </c>
      <c r="C499" s="4">
        <f>StudentsY1*(1+StudentGrowth)^497*CreditsPerStudent*TuitionPerCredit</f>
        <v>6.11440417138474E+16</v>
      </c>
      <c r="D499" s="4">
        <f>SimRevY1*(1+SimGrowth)^497</f>
        <v>1.8669579140918235E+25</v>
      </c>
      <c r="E499" s="4">
        <f>FacDevRevY1*(1+FacDevGrowth)^497</f>
        <v>9.3347895704591174E+24</v>
      </c>
      <c r="F499" s="4">
        <f t="shared" si="28"/>
        <v>2.8004368772521394E+25</v>
      </c>
      <c r="G499" s="4">
        <f t="shared" si="29"/>
        <v>2.800436878230444E+25</v>
      </c>
      <c r="H499" s="4">
        <f>SalaryFTECount*SalaryPerFTE*(1+SalaryGrowth)^497</f>
        <v>61346377990344.172</v>
      </c>
      <c r="I499" s="4">
        <f>SimOpsY1*(1+SimOpsGrowth)^497</f>
        <v>1.2266699650703195E+21</v>
      </c>
      <c r="J499" s="4">
        <f>TrainDevY1*(1+TrainDevGrowth)^497</f>
        <v>6.1333498253515974E+20</v>
      </c>
      <c r="K499" s="4">
        <f>AdminY1*(1+AdminGrowth)^497</f>
        <v>7.5517052768994496E+16</v>
      </c>
      <c r="L499" s="4">
        <f t="shared" si="30"/>
        <v>1.8400805260046261E+21</v>
      </c>
      <c r="M499" s="4">
        <f t="shared" si="31"/>
        <v>2.8002528701778434E+25</v>
      </c>
    </row>
    <row r="500" spans="1:13" x14ac:dyDescent="0.2">
      <c r="A500" s="3">
        <f>StartYear+498</f>
        <v>2523</v>
      </c>
      <c r="B500" s="4">
        <f>FacultyFTE*HoursPerWeek*WeeksPerYear*RatePerHour*(1+PracticeGrowth)^498</f>
        <v>1.0272199007926364E+16</v>
      </c>
      <c r="C500" s="4">
        <f>StudentsY1*(1+StudentGrowth)^498*CreditsPerStudent*TuitionPerCredit</f>
        <v>6.4201243799539768E+16</v>
      </c>
      <c r="D500" s="4">
        <f>SimRevY1*(1+SimGrowth)^498</f>
        <v>2.0536537055010058E+25</v>
      </c>
      <c r="E500" s="4">
        <f>FacDevRevY1*(1+FacDevGrowth)^498</f>
        <v>1.0268268527505029E+25</v>
      </c>
      <c r="F500" s="4">
        <f t="shared" si="28"/>
        <v>3.0804805646716331E+25</v>
      </c>
      <c r="G500" s="4">
        <f t="shared" si="29"/>
        <v>3.0804805656988531E+25</v>
      </c>
      <c r="H500" s="4">
        <f>SalaryFTECount*SalaryPerFTE*(1+SalaryGrowth)^498</f>
        <v>63800233109957.961</v>
      </c>
      <c r="I500" s="4">
        <f>SimOpsY1*(1+SimOpsGrowth)^498</f>
        <v>1.3248035622759451E+21</v>
      </c>
      <c r="J500" s="4">
        <f>TrainDevY1*(1+TrainDevGrowth)^498</f>
        <v>6.6240178113797253E+20</v>
      </c>
      <c r="K500" s="4">
        <f>AdminY1*(1+AdminGrowth)^498</f>
        <v>8.0048075935134176E+16</v>
      </c>
      <c r="L500" s="4">
        <f t="shared" si="30"/>
        <v>1.9872854552900859E+21</v>
      </c>
      <c r="M500" s="4">
        <f t="shared" si="31"/>
        <v>3.0802818371533242E+25</v>
      </c>
    </row>
    <row r="501" spans="1:13" x14ac:dyDescent="0.2">
      <c r="A501" s="3">
        <f>StartYear+499</f>
        <v>2524</v>
      </c>
      <c r="B501" s="4">
        <f>FacultyFTE*HoursPerWeek*WeeksPerYear*RatePerHour*(1+PracticeGrowth)^499</f>
        <v>1.0785808958322682E+16</v>
      </c>
      <c r="C501" s="4">
        <f>StudentsY1*(1+StudentGrowth)^499*CreditsPerStudent*TuitionPerCredit</f>
        <v>6.7411305989516768E+16</v>
      </c>
      <c r="D501" s="4">
        <f>SimRevY1*(1+SimGrowth)^499</f>
        <v>2.2590190760511065E+25</v>
      </c>
      <c r="E501" s="4">
        <f>FacDevRevY1*(1+FacDevGrowth)^499</f>
        <v>1.1295095380255533E+25</v>
      </c>
      <c r="F501" s="4">
        <f t="shared" si="28"/>
        <v>3.3885286208177905E+25</v>
      </c>
      <c r="G501" s="4">
        <f t="shared" si="29"/>
        <v>3.3885286218963715E+25</v>
      </c>
      <c r="H501" s="4">
        <f>SalaryFTECount*SalaryPerFTE*(1+SalaryGrowth)^499</f>
        <v>66352242434356.266</v>
      </c>
      <c r="I501" s="4">
        <f>SimOpsY1*(1+SimOpsGrowth)^499</f>
        <v>1.4307878472580208E+21</v>
      </c>
      <c r="J501" s="4">
        <f>TrainDevY1*(1+TrainDevGrowth)^499</f>
        <v>7.1539392362901039E+20</v>
      </c>
      <c r="K501" s="4">
        <f>AdminY1*(1+AdminGrowth)^499</f>
        <v>8.4850960491242224E+16</v>
      </c>
      <c r="L501" s="4">
        <f t="shared" si="30"/>
        <v>2.146266688199765E+21</v>
      </c>
      <c r="M501" s="4">
        <f t="shared" si="31"/>
        <v>3.3883139952275517E+25</v>
      </c>
    </row>
    <row r="502" spans="1:13" x14ac:dyDescent="0.2">
      <c r="A502" s="3">
        <f>StartYear+500</f>
        <v>2525</v>
      </c>
      <c r="B502" s="4">
        <f>FacultyFTE*HoursPerWeek*WeeksPerYear*RatePerHour*(1+PracticeGrowth)^500</f>
        <v>1.132509940623882E+16</v>
      </c>
      <c r="C502" s="4">
        <f>StudentsY1*(1+StudentGrowth)^500*CreditsPerStudent*TuitionPerCredit</f>
        <v>7.0781871288992624E+16</v>
      </c>
      <c r="D502" s="4">
        <f>SimRevY1*(1+SimGrowth)^500</f>
        <v>2.4849209836562176E+25</v>
      </c>
      <c r="E502" s="4">
        <f>FacDevRevY1*(1+FacDevGrowth)^500</f>
        <v>1.2424604918281088E+25</v>
      </c>
      <c r="F502" s="4">
        <f t="shared" si="28"/>
        <v>3.7273814825625137E+25</v>
      </c>
      <c r="G502" s="4">
        <f t="shared" si="29"/>
        <v>3.7273814836950236E+25</v>
      </c>
      <c r="H502" s="4">
        <f>SalaryFTECount*SalaryPerFTE*(1+SalaryGrowth)^500</f>
        <v>69006332131730.523</v>
      </c>
      <c r="I502" s="4">
        <f>SimOpsY1*(1+SimOpsGrowth)^500</f>
        <v>1.5452508750386624E+21</v>
      </c>
      <c r="J502" s="4">
        <f>TrainDevY1*(1+TrainDevGrowth)^500</f>
        <v>7.726254375193312E+20</v>
      </c>
      <c r="K502" s="4">
        <f>AdminY1*(1+AdminGrowth)^500</f>
        <v>8.9942018120716752E+16</v>
      </c>
      <c r="L502" s="4">
        <f t="shared" si="30"/>
        <v>2.3179663235824463E+21</v>
      </c>
      <c r="M502" s="4">
        <f t="shared" si="31"/>
        <v>3.7271496870626652E+25</v>
      </c>
    </row>
    <row r="503" spans="1:13" x14ac:dyDescent="0.2">
      <c r="A503" s="3">
        <f>StartYear+501</f>
        <v>2526</v>
      </c>
      <c r="B503" s="4">
        <f>FacultyFTE*HoursPerWeek*WeeksPerYear*RatePerHour*(1+PracticeGrowth)^501</f>
        <v>1.1891354376550754E+16</v>
      </c>
      <c r="C503" s="4">
        <f>StudentsY1*(1+StudentGrowth)^501*CreditsPerStudent*TuitionPerCredit</f>
        <v>7.4320964853442224E+16</v>
      </c>
      <c r="D503" s="4">
        <f>SimRevY1*(1+SimGrowth)^501</f>
        <v>2.7334130820218394E+25</v>
      </c>
      <c r="E503" s="4">
        <f>FacDevRevY1*(1+FacDevGrowth)^501</f>
        <v>1.3667065410109197E+25</v>
      </c>
      <c r="F503" s="4">
        <f t="shared" si="28"/>
        <v>4.1001196304648555E+25</v>
      </c>
      <c r="G503" s="4">
        <f t="shared" si="29"/>
        <v>4.1001196316539911E+25</v>
      </c>
      <c r="H503" s="4">
        <f>SalaryFTECount*SalaryPerFTE*(1+SalaryGrowth)^501</f>
        <v>71766585416999.766</v>
      </c>
      <c r="I503" s="4">
        <f>SimOpsY1*(1+SimOpsGrowth)^501</f>
        <v>1.6688709450417554E+21</v>
      </c>
      <c r="J503" s="4">
        <f>TrainDevY1*(1+TrainDevGrowth)^501</f>
        <v>8.344354725208777E+20</v>
      </c>
      <c r="K503" s="4">
        <f>AdminY1*(1+AdminGrowth)^501</f>
        <v>9.5338539207959808E+16</v>
      </c>
      <c r="L503" s="4">
        <f t="shared" si="30"/>
        <v>2.5034018278684266E+21</v>
      </c>
      <c r="M503" s="4">
        <f t="shared" si="31"/>
        <v>4.0998692914712046E+25</v>
      </c>
    </row>
    <row r="504" spans="1:13" x14ac:dyDescent="0.2">
      <c r="A504" s="3">
        <f>StartYear+502</f>
        <v>2527</v>
      </c>
      <c r="B504" s="4">
        <f>FacultyFTE*HoursPerWeek*WeeksPerYear*RatePerHour*(1+PracticeGrowth)^502</f>
        <v>1.2485922095378292E+16</v>
      </c>
      <c r="C504" s="4">
        <f>StudentsY1*(1+StudentGrowth)^502*CreditsPerStudent*TuitionPerCredit</f>
        <v>7.803701309611432E+16</v>
      </c>
      <c r="D504" s="4">
        <f>SimRevY1*(1+SimGrowth)^502</f>
        <v>3.0067543902240244E+25</v>
      </c>
      <c r="E504" s="4">
        <f>FacDevRevY1*(1+FacDevGrowth)^502</f>
        <v>1.5033771951120122E+25</v>
      </c>
      <c r="F504" s="4">
        <f t="shared" si="28"/>
        <v>4.5101315931397377E+25</v>
      </c>
      <c r="G504" s="4">
        <f t="shared" si="29"/>
        <v>4.5101315943883303E+25</v>
      </c>
      <c r="H504" s="4">
        <f>SalaryFTECount*SalaryPerFTE*(1+SalaryGrowth)^502</f>
        <v>74637248833679.75</v>
      </c>
      <c r="I504" s="4">
        <f>SimOpsY1*(1+SimOpsGrowth)^502</f>
        <v>1.802380620645096E+21</v>
      </c>
      <c r="J504" s="4">
        <f>TrainDevY1*(1+TrainDevGrowth)^502</f>
        <v>9.0119031032254798E+20</v>
      </c>
      <c r="K504" s="4">
        <f>AdminY1*(1+AdminGrowth)^502</f>
        <v>1.0105885156043738E+17</v>
      </c>
      <c r="L504" s="4">
        <f t="shared" si="30"/>
        <v>2.703672064456453E+21</v>
      </c>
      <c r="M504" s="4">
        <f t="shared" si="31"/>
        <v>4.5098612271818848E+25</v>
      </c>
    </row>
    <row r="505" spans="1:13" x14ac:dyDescent="0.2">
      <c r="A505" s="3">
        <f>StartYear+503</f>
        <v>2528</v>
      </c>
      <c r="B505" s="4">
        <f>FacultyFTE*HoursPerWeek*WeeksPerYear*RatePerHour*(1+PracticeGrowth)^503</f>
        <v>1.311021820014721E+16</v>
      </c>
      <c r="C505" s="4">
        <f>StudentsY1*(1+StudentGrowth)^503*CreditsPerStudent*TuitionPerCredit</f>
        <v>8.1938863750920064E+16</v>
      </c>
      <c r="D505" s="4">
        <f>SimRevY1*(1+SimGrowth)^503</f>
        <v>3.3074298292464269E+25</v>
      </c>
      <c r="E505" s="4">
        <f>FacDevRevY1*(1+FacDevGrowth)^503</f>
        <v>1.6537149146232135E+25</v>
      </c>
      <c r="F505" s="4">
        <f t="shared" si="28"/>
        <v>4.9611447520635268E+25</v>
      </c>
      <c r="G505" s="4">
        <f t="shared" si="29"/>
        <v>4.9611447533745484E+25</v>
      </c>
      <c r="H505" s="4">
        <f>SalaryFTECount*SalaryPerFTE*(1+SalaryGrowth)^503</f>
        <v>77622738787026.938</v>
      </c>
      <c r="I505" s="4">
        <f>SimOpsY1*(1+SimOpsGrowth)^503</f>
        <v>1.9465710702967036E+21</v>
      </c>
      <c r="J505" s="4">
        <f>TrainDevY1*(1+TrainDevGrowth)^503</f>
        <v>9.7328553514835182E+20</v>
      </c>
      <c r="K505" s="4">
        <f>AdminY1*(1+AdminGrowth)^503</f>
        <v>1.0712238265406363E+17</v>
      </c>
      <c r="L505" s="4">
        <f t="shared" si="30"/>
        <v>2.9199638054504481E+21</v>
      </c>
      <c r="M505" s="4">
        <f t="shared" si="31"/>
        <v>4.9608527569940029E+25</v>
      </c>
    </row>
    <row r="506" spans="1:13" x14ac:dyDescent="0.2">
      <c r="A506" s="3">
        <f>StartYear+504</f>
        <v>2529</v>
      </c>
      <c r="B506" s="4">
        <f>FacultyFTE*HoursPerWeek*WeeksPerYear*RatePerHour*(1+PracticeGrowth)^504</f>
        <v>1.3765729110154572E+16</v>
      </c>
      <c r="C506" s="4">
        <f>StudentsY1*(1+StudentGrowth)^504*CreditsPerStudent*TuitionPerCredit</f>
        <v>8.603580693846608E+16</v>
      </c>
      <c r="D506" s="4">
        <f>SimRevY1*(1+SimGrowth)^504</f>
        <v>3.638172812171068E+25</v>
      </c>
      <c r="E506" s="4">
        <f>FacDevRevY1*(1+FacDevGrowth)^504</f>
        <v>1.819086406085534E+25</v>
      </c>
      <c r="F506" s="4">
        <f t="shared" si="28"/>
        <v>5.4572592268601824E+25</v>
      </c>
      <c r="G506" s="4">
        <f t="shared" si="29"/>
        <v>5.4572592282367555E+25</v>
      </c>
      <c r="H506" s="4">
        <f>SalaryFTECount*SalaryPerFTE*(1+SalaryGrowth)^504</f>
        <v>80727648338508</v>
      </c>
      <c r="I506" s="4">
        <f>SimOpsY1*(1+SimOpsGrowth)^504</f>
        <v>2.1022967559204401E+21</v>
      </c>
      <c r="J506" s="4">
        <f>TrainDevY1*(1+TrainDevGrowth)^504</f>
        <v>1.0511483779602201E+21</v>
      </c>
      <c r="K506" s="4">
        <f>AdminY1*(1+AdminGrowth)^504</f>
        <v>1.1354972561330742E+17</v>
      </c>
      <c r="L506" s="4">
        <f t="shared" si="30"/>
        <v>3.153558764333922E+21</v>
      </c>
      <c r="M506" s="4">
        <f t="shared" si="31"/>
        <v>5.4569438723603222E+25</v>
      </c>
    </row>
    <row r="507" spans="1:13" x14ac:dyDescent="0.2">
      <c r="A507" s="3">
        <f>StartYear+505</f>
        <v>2530</v>
      </c>
      <c r="B507" s="4">
        <f>FacultyFTE*HoursPerWeek*WeeksPerYear*RatePerHour*(1+PracticeGrowth)^505</f>
        <v>1.4454015565662302E+16</v>
      </c>
      <c r="C507" s="4">
        <f>StudentsY1*(1+StudentGrowth)^505*CreditsPerStudent*TuitionPerCredit</f>
        <v>9.0337597285389376E+16</v>
      </c>
      <c r="D507" s="4">
        <f>SimRevY1*(1+SimGrowth)^505</f>
        <v>4.0019900933881767E+25</v>
      </c>
      <c r="E507" s="4">
        <f>FacDevRevY1*(1+FacDevGrowth)^505</f>
        <v>2.0009950466940883E+25</v>
      </c>
      <c r="F507" s="4">
        <f t="shared" si="28"/>
        <v>6.0029851491160239E+25</v>
      </c>
      <c r="G507" s="4">
        <f t="shared" si="29"/>
        <v>6.0029851505614256E+25</v>
      </c>
      <c r="H507" s="4">
        <f>SalaryFTECount*SalaryPerFTE*(1+SalaryGrowth)^505</f>
        <v>83956754272048.375</v>
      </c>
      <c r="I507" s="4">
        <f>SimOpsY1*(1+SimOpsGrowth)^505</f>
        <v>2.2704804963940756E+21</v>
      </c>
      <c r="J507" s="4">
        <f>TrainDevY1*(1+TrainDevGrowth)^505</f>
        <v>1.1352402481970378E+21</v>
      </c>
      <c r="K507" s="4">
        <f>AdminY1*(1+AdminGrowth)^505</f>
        <v>1.2036270915010587E+17</v>
      </c>
      <c r="L507" s="4">
        <f t="shared" si="30"/>
        <v>3.4058411912570177E+21</v>
      </c>
      <c r="M507" s="4">
        <f t="shared" si="31"/>
        <v>6.0026445664422995E+25</v>
      </c>
    </row>
    <row r="508" spans="1:13" x14ac:dyDescent="0.2">
      <c r="A508" s="3">
        <f>StartYear+506</f>
        <v>2531</v>
      </c>
      <c r="B508" s="4">
        <f>FacultyFTE*HoursPerWeek*WeeksPerYear*RatePerHour*(1+PracticeGrowth)^506</f>
        <v>1.5176716343945416E+16</v>
      </c>
      <c r="C508" s="4">
        <f>StudentsY1*(1+StudentGrowth)^506*CreditsPerStudent*TuitionPerCredit</f>
        <v>9.4854477149658848E+16</v>
      </c>
      <c r="D508" s="4">
        <f>SimRevY1*(1+SimGrowth)^506</f>
        <v>4.4021891027269939E+25</v>
      </c>
      <c r="E508" s="4">
        <f>FacDevRevY1*(1+FacDevGrowth)^506</f>
        <v>2.201094551363497E+25</v>
      </c>
      <c r="F508" s="4">
        <f t="shared" si="28"/>
        <v>6.6032836635759382E+25</v>
      </c>
      <c r="G508" s="4">
        <f t="shared" si="29"/>
        <v>6.6032836650936095E+25</v>
      </c>
      <c r="H508" s="4">
        <f>SalaryFTECount*SalaryPerFTE*(1+SalaryGrowth)^506</f>
        <v>87315024442930.266</v>
      </c>
      <c r="I508" s="4">
        <f>SimOpsY1*(1+SimOpsGrowth)^506</f>
        <v>2.4521189361056015E+21</v>
      </c>
      <c r="J508" s="4">
        <f>TrainDevY1*(1+TrainDevGrowth)^506</f>
        <v>1.2260594680528007E+21</v>
      </c>
      <c r="K508" s="4">
        <f>AdminY1*(1+AdminGrowth)^506</f>
        <v>1.2758447169911224E+17</v>
      </c>
      <c r="L508" s="4">
        <f t="shared" si="30"/>
        <v>3.6783060759451255E+21</v>
      </c>
      <c r="M508" s="4">
        <f t="shared" si="31"/>
        <v>6.6029158344860151E+25</v>
      </c>
    </row>
    <row r="509" spans="1:13" x14ac:dyDescent="0.2">
      <c r="A509" s="3">
        <f>StartYear+507</f>
        <v>2532</v>
      </c>
      <c r="B509" s="4">
        <f>FacultyFTE*HoursPerWeek*WeeksPerYear*RatePerHour*(1+PracticeGrowth)^507</f>
        <v>1.5935552161142686E+16</v>
      </c>
      <c r="C509" s="4">
        <f>StudentsY1*(1+StudentGrowth)^507*CreditsPerStudent*TuitionPerCredit</f>
        <v>9.9597201007141792E+16</v>
      </c>
      <c r="D509" s="4">
        <f>SimRevY1*(1+SimGrowth)^507</f>
        <v>4.8424080129996938E+25</v>
      </c>
      <c r="E509" s="4">
        <f>FacDevRevY1*(1+FacDevGrowth)^507</f>
        <v>2.4212040064998469E+25</v>
      </c>
      <c r="F509" s="4">
        <f t="shared" si="28"/>
        <v>7.2636120294592611E+25</v>
      </c>
      <c r="G509" s="4">
        <f t="shared" si="29"/>
        <v>7.2636120310528159E+25</v>
      </c>
      <c r="H509" s="4">
        <f>SalaryFTECount*SalaryPerFTE*(1+SalaryGrowth)^507</f>
        <v>90807625420647.484</v>
      </c>
      <c r="I509" s="4">
        <f>SimOpsY1*(1+SimOpsGrowth)^507</f>
        <v>2.6482884509940496E+21</v>
      </c>
      <c r="J509" s="4">
        <f>TrainDevY1*(1+TrainDevGrowth)^507</f>
        <v>1.3241442254970248E+21</v>
      </c>
      <c r="K509" s="4">
        <f>AdminY1*(1+AdminGrowth)^507</f>
        <v>1.3523954000105901E+17</v>
      </c>
      <c r="L509" s="4">
        <f t="shared" si="30"/>
        <v>3.9725680068387007E+21</v>
      </c>
      <c r="M509" s="4">
        <f t="shared" si="31"/>
        <v>7.2632147742521316E+25</v>
      </c>
    </row>
    <row r="510" spans="1:13" x14ac:dyDescent="0.2">
      <c r="A510" s="3">
        <f>StartYear+508</f>
        <v>2533</v>
      </c>
      <c r="B510" s="4">
        <f>FacultyFTE*HoursPerWeek*WeeksPerYear*RatePerHour*(1+PracticeGrowth)^508</f>
        <v>1.673232976919982E+16</v>
      </c>
      <c r="C510" s="4">
        <f>StudentsY1*(1+StudentGrowth)^508*CreditsPerStudent*TuitionPerCredit</f>
        <v>1.0457706105749886E+17</v>
      </c>
      <c r="D510" s="4">
        <f>SimRevY1*(1+SimGrowth)^508</f>
        <v>5.3266488142996629E+25</v>
      </c>
      <c r="E510" s="4">
        <f>FacDevRevY1*(1+FacDevGrowth)^508</f>
        <v>2.6633244071498315E+25</v>
      </c>
      <c r="F510" s="4">
        <f t="shared" si="28"/>
        <v>7.9899732319072003E+25</v>
      </c>
      <c r="G510" s="4">
        <f t="shared" si="29"/>
        <v>7.9899732335804337E+25</v>
      </c>
      <c r="H510" s="4">
        <f>SalaryFTECount*SalaryPerFTE*(1+SalaryGrowth)^508</f>
        <v>94439930437473.422</v>
      </c>
      <c r="I510" s="4">
        <f>SimOpsY1*(1+SimOpsGrowth)^508</f>
        <v>2.8601515270735738E+21</v>
      </c>
      <c r="J510" s="4">
        <f>TrainDevY1*(1+TrainDevGrowth)^508</f>
        <v>1.4300757635367869E+21</v>
      </c>
      <c r="K510" s="4">
        <f>AdminY1*(1+AdminGrowth)^508</f>
        <v>1.4335391240112251E+17</v>
      </c>
      <c r="L510" s="4">
        <f t="shared" si="30"/>
        <v>4.2903707389626926E+21</v>
      </c>
      <c r="M510" s="4">
        <f t="shared" si="31"/>
        <v>7.9895441965065367E+25</v>
      </c>
    </row>
    <row r="511" spans="1:13" x14ac:dyDescent="0.2">
      <c r="A511" s="3">
        <f>StartYear+509</f>
        <v>2534</v>
      </c>
      <c r="B511" s="4">
        <f>FacultyFTE*HoursPerWeek*WeeksPerYear*RatePerHour*(1+PracticeGrowth)^509</f>
        <v>1.7568946257659814E+16</v>
      </c>
      <c r="C511" s="4">
        <f>StudentsY1*(1+StudentGrowth)^509*CreditsPerStudent*TuitionPerCredit</f>
        <v>1.0980591411037384E+17</v>
      </c>
      <c r="D511" s="4">
        <f>SimRevY1*(1+SimGrowth)^509</f>
        <v>5.8593136957296309E+25</v>
      </c>
      <c r="E511" s="4">
        <f>FacDevRevY1*(1+FacDevGrowth)^509</f>
        <v>2.9296568478648155E+25</v>
      </c>
      <c r="F511" s="4">
        <f t="shared" si="28"/>
        <v>8.788970554575038E+25</v>
      </c>
      <c r="G511" s="4">
        <f t="shared" si="29"/>
        <v>8.7889705563319321E+25</v>
      </c>
      <c r="H511" s="4">
        <f>SalaryFTECount*SalaryPerFTE*(1+SalaryGrowth)^509</f>
        <v>98217527654972.344</v>
      </c>
      <c r="I511" s="4">
        <f>SimOpsY1*(1+SimOpsGrowth)^509</f>
        <v>3.0889636492394596E+21</v>
      </c>
      <c r="J511" s="4">
        <f>TrainDevY1*(1+TrainDevGrowth)^509</f>
        <v>1.5444818246197298E+21</v>
      </c>
      <c r="K511" s="4">
        <f>AdminY1*(1+AdminGrowth)^509</f>
        <v>1.5195514714518995E+17</v>
      </c>
      <c r="L511" s="4">
        <f t="shared" si="30"/>
        <v>4.633597527223862E+21</v>
      </c>
      <c r="M511" s="4">
        <f t="shared" si="31"/>
        <v>8.78850719657921E+25</v>
      </c>
    </row>
    <row r="512" spans="1:13" x14ac:dyDescent="0.2">
      <c r="A512" s="3">
        <f>StartYear+510</f>
        <v>2535</v>
      </c>
      <c r="B512" s="4">
        <f>FacultyFTE*HoursPerWeek*WeeksPerYear*RatePerHour*(1+PracticeGrowth)^510</f>
        <v>1.8447393570542796E+16</v>
      </c>
      <c r="C512" s="4">
        <f>StudentsY1*(1+StudentGrowth)^510*CreditsPerStudent*TuitionPerCredit</f>
        <v>1.1529620981589248E+17</v>
      </c>
      <c r="D512" s="4">
        <f>SimRevY1*(1+SimGrowth)^510</f>
        <v>6.4452450653025951E+25</v>
      </c>
      <c r="E512" s="4">
        <f>FacDevRevY1*(1+FacDevGrowth)^510</f>
        <v>3.2226225326512975E+25</v>
      </c>
      <c r="F512" s="4">
        <f t="shared" si="28"/>
        <v>9.6678676094835137E+25</v>
      </c>
      <c r="G512" s="4">
        <f t="shared" si="29"/>
        <v>9.6678676113282537E+25</v>
      </c>
      <c r="H512" s="4">
        <f>SalaryFTECount*SalaryPerFTE*(1+SalaryGrowth)^510</f>
        <v>102146228761171.22</v>
      </c>
      <c r="I512" s="4">
        <f>SimOpsY1*(1+SimOpsGrowth)^510</f>
        <v>3.3360807411786171E+21</v>
      </c>
      <c r="J512" s="4">
        <f>TrainDevY1*(1+TrainDevGrowth)^510</f>
        <v>1.6680403705893086E+21</v>
      </c>
      <c r="K512" s="4">
        <f>AdminY1*(1+AdminGrowth)^510</f>
        <v>1.6107245597390131E+17</v>
      </c>
      <c r="L512" s="4">
        <f t="shared" si="30"/>
        <v>5.0042822863701284E+21</v>
      </c>
      <c r="M512" s="4">
        <f t="shared" si="31"/>
        <v>9.6673671830996172E+25</v>
      </c>
    </row>
    <row r="513" spans="1:13" x14ac:dyDescent="0.2">
      <c r="A513" s="3">
        <f>StartYear+511</f>
        <v>2536</v>
      </c>
      <c r="B513" s="4">
        <f>FacultyFTE*HoursPerWeek*WeeksPerYear*RatePerHour*(1+PracticeGrowth)^511</f>
        <v>1.9369763249069944E+16</v>
      </c>
      <c r="C513" s="4">
        <f>StudentsY1*(1+StudentGrowth)^511*CreditsPerStudent*TuitionPerCredit</f>
        <v>1.2106102030668717E+17</v>
      </c>
      <c r="D513" s="4">
        <f>SimRevY1*(1+SimGrowth)^511</f>
        <v>7.0897695718328536E+25</v>
      </c>
      <c r="E513" s="4">
        <f>FacDevRevY1*(1+FacDevGrowth)^511</f>
        <v>3.5448847859164268E+25</v>
      </c>
      <c r="F513" s="4">
        <f t="shared" si="28"/>
        <v>1.0634654369855382E+26</v>
      </c>
      <c r="G513" s="4">
        <f t="shared" si="29"/>
        <v>1.0634654371792359E+26</v>
      </c>
      <c r="H513" s="4">
        <f>SalaryFTECount*SalaryPerFTE*(1+SalaryGrowth)^511</f>
        <v>106232077911618.09</v>
      </c>
      <c r="I513" s="4">
        <f>SimOpsY1*(1+SimOpsGrowth)^511</f>
        <v>3.6029672004729076E+21</v>
      </c>
      <c r="J513" s="4">
        <f>TrainDevY1*(1+TrainDevGrowth)^511</f>
        <v>1.8014836002364538E+21</v>
      </c>
      <c r="K513" s="4">
        <f>AdminY1*(1+AdminGrowth)^511</f>
        <v>1.7073680333233546E+17</v>
      </c>
      <c r="L513" s="4">
        <f t="shared" si="30"/>
        <v>5.4046216437447713E+21</v>
      </c>
      <c r="M513" s="4">
        <f t="shared" si="31"/>
        <v>1.0634113909627984E+26</v>
      </c>
    </row>
    <row r="514" spans="1:13" x14ac:dyDescent="0.2">
      <c r="A514" s="3">
        <f>StartYear+512</f>
        <v>2537</v>
      </c>
      <c r="B514" s="4">
        <f>FacultyFTE*HoursPerWeek*WeeksPerYear*RatePerHour*(1+PracticeGrowth)^512</f>
        <v>2.033825141152344E+16</v>
      </c>
      <c r="C514" s="4">
        <f>StudentsY1*(1+StudentGrowth)^512*CreditsPerStudent*TuitionPerCredit</f>
        <v>1.2711407132202149E+17</v>
      </c>
      <c r="D514" s="4">
        <f>SimRevY1*(1+SimGrowth)^512</f>
        <v>7.7987465290161386E+25</v>
      </c>
      <c r="E514" s="4">
        <f>FacDevRevY1*(1+FacDevGrowth)^512</f>
        <v>3.8993732645080693E+25</v>
      </c>
      <c r="F514" s="4">
        <f t="shared" ref="F514:F577" si="32">C514+D514+E514</f>
        <v>1.1698119806235616E+26</v>
      </c>
      <c r="G514" s="4">
        <f t="shared" ref="G514:G577" si="33">B514+F514</f>
        <v>1.1698119808269441E+26</v>
      </c>
      <c r="H514" s="4">
        <f>SalaryFTECount*SalaryPerFTE*(1+SalaryGrowth)^512</f>
        <v>110481361028082.83</v>
      </c>
      <c r="I514" s="4">
        <f>SimOpsY1*(1+SimOpsGrowth)^512</f>
        <v>3.8912045765107395E+21</v>
      </c>
      <c r="J514" s="4">
        <f>TrainDevY1*(1+TrainDevGrowth)^512</f>
        <v>1.9456022882553697E+21</v>
      </c>
      <c r="K514" s="4">
        <f>AdminY1*(1+AdminGrowth)^512</f>
        <v>1.8098101153227552E+17</v>
      </c>
      <c r="L514" s="4">
        <f t="shared" ref="L514:L577" si="34">SUM(H514:K514)</f>
        <v>5.836987956259003E+21</v>
      </c>
      <c r="M514" s="4">
        <f t="shared" ref="M514:M577" si="35">G514-L514</f>
        <v>1.1697536109473815E+26</v>
      </c>
    </row>
    <row r="515" spans="1:13" x14ac:dyDescent="0.2">
      <c r="A515" s="3">
        <f>StartYear+513</f>
        <v>2538</v>
      </c>
      <c r="B515" s="4">
        <f>FacultyFTE*HoursPerWeek*WeeksPerYear*RatePerHour*(1+PracticeGrowth)^513</f>
        <v>2.1355163982099612E+16</v>
      </c>
      <c r="C515" s="4">
        <f>StudentsY1*(1+StudentGrowth)^513*CreditsPerStudent*TuitionPerCredit</f>
        <v>1.3346977488812256E+17</v>
      </c>
      <c r="D515" s="4">
        <f>SimRevY1*(1+SimGrowth)^513</f>
        <v>8.5786211819177536E+25</v>
      </c>
      <c r="E515" s="4">
        <f>FacDevRevY1*(1+FacDevGrowth)^513</f>
        <v>4.2893105909588768E+25</v>
      </c>
      <c r="F515" s="4">
        <f t="shared" si="32"/>
        <v>1.2867931786223607E+26</v>
      </c>
      <c r="G515" s="4">
        <f t="shared" si="33"/>
        <v>1.2867931788359123E+26</v>
      </c>
      <c r="H515" s="4">
        <f>SalaryFTECount*SalaryPerFTE*(1+SalaryGrowth)^513</f>
        <v>114900615469206.16</v>
      </c>
      <c r="I515" s="4">
        <f>SimOpsY1*(1+SimOpsGrowth)^513</f>
        <v>4.2025009426315991E+21</v>
      </c>
      <c r="J515" s="4">
        <f>TrainDevY1*(1+TrainDevGrowth)^513</f>
        <v>2.1012504713157995E+21</v>
      </c>
      <c r="K515" s="4">
        <f>AdminY1*(1+AdminGrowth)^513</f>
        <v>1.9183987222421203E+17</v>
      </c>
      <c r="L515" s="4">
        <f t="shared" si="34"/>
        <v>6.3039433687202382E+21</v>
      </c>
      <c r="M515" s="4">
        <f t="shared" si="35"/>
        <v>1.2867301394022252E+26</v>
      </c>
    </row>
    <row r="516" spans="1:13" x14ac:dyDescent="0.2">
      <c r="A516" s="3">
        <f>StartYear+514</f>
        <v>2539</v>
      </c>
      <c r="B516" s="4">
        <f>FacultyFTE*HoursPerWeek*WeeksPerYear*RatePerHour*(1+PracticeGrowth)^514</f>
        <v>2.2422922181204588E+16</v>
      </c>
      <c r="C516" s="4">
        <f>StudentsY1*(1+StudentGrowth)^514*CreditsPerStudent*TuitionPerCredit</f>
        <v>1.401432636325287E+17</v>
      </c>
      <c r="D516" s="4">
        <f>SimRevY1*(1+SimGrowth)^514</f>
        <v>9.4364833001095297E+25</v>
      </c>
      <c r="E516" s="4">
        <f>FacDevRevY1*(1+FacDevGrowth)^514</f>
        <v>4.7182416500547648E+25</v>
      </c>
      <c r="F516" s="4">
        <f t="shared" si="32"/>
        <v>1.4154724964178622E+26</v>
      </c>
      <c r="G516" s="4">
        <f t="shared" si="33"/>
        <v>1.4154724966420914E+26</v>
      </c>
      <c r="H516" s="4">
        <f>SalaryFTECount*SalaryPerFTE*(1+SalaryGrowth)^514</f>
        <v>119496640087974.39</v>
      </c>
      <c r="I516" s="4">
        <f>SimOpsY1*(1+SimOpsGrowth)^514</f>
        <v>4.5387010180421271E+21</v>
      </c>
      <c r="J516" s="4">
        <f>TrainDevY1*(1+TrainDevGrowth)^514</f>
        <v>2.2693505090210635E+21</v>
      </c>
      <c r="K516" s="4">
        <f>AdminY1*(1+AdminGrowth)^514</f>
        <v>2.033502645576648E+17</v>
      </c>
      <c r="L516" s="4">
        <f t="shared" si="34"/>
        <v>6.808254996824388E+21</v>
      </c>
      <c r="M516" s="4">
        <f t="shared" si="35"/>
        <v>1.4154044140921231E+26</v>
      </c>
    </row>
    <row r="517" spans="1:13" x14ac:dyDescent="0.2">
      <c r="A517" s="3">
        <f>StartYear+515</f>
        <v>2540</v>
      </c>
      <c r="B517" s="4">
        <f>FacultyFTE*HoursPerWeek*WeeksPerYear*RatePerHour*(1+PracticeGrowth)^515</f>
        <v>2.3544068290264824E+16</v>
      </c>
      <c r="C517" s="4">
        <f>StudentsY1*(1+StudentGrowth)^515*CreditsPerStudent*TuitionPerCredit</f>
        <v>1.4715042681415514E+17</v>
      </c>
      <c r="D517" s="4">
        <f>SimRevY1*(1+SimGrowth)^515</f>
        <v>1.0380131630120484E+26</v>
      </c>
      <c r="E517" s="4">
        <f>FacDevRevY1*(1+FacDevGrowth)^515</f>
        <v>5.1900658150602418E+25</v>
      </c>
      <c r="F517" s="4">
        <f t="shared" si="32"/>
        <v>1.5570197459895768E+26</v>
      </c>
      <c r="G517" s="4">
        <f t="shared" si="33"/>
        <v>1.5570197462250176E+26</v>
      </c>
      <c r="H517" s="4">
        <f>SalaryFTECount*SalaryPerFTE*(1+SalaryGrowth)^515</f>
        <v>124276505691493.39</v>
      </c>
      <c r="I517" s="4">
        <f>SimOpsY1*(1+SimOpsGrowth)^515</f>
        <v>4.9017970994854977E+21</v>
      </c>
      <c r="J517" s="4">
        <f>TrainDevY1*(1+TrainDevGrowth)^515</f>
        <v>2.4508985497427488E+21</v>
      </c>
      <c r="K517" s="4">
        <f>AdminY1*(1+AdminGrowth)^515</f>
        <v>2.1555128043112467E+17</v>
      </c>
      <c r="L517" s="4">
        <f t="shared" si="34"/>
        <v>7.3529113247851836E+21</v>
      </c>
      <c r="M517" s="4">
        <f t="shared" si="35"/>
        <v>1.5569462171117698E+26</v>
      </c>
    </row>
    <row r="518" spans="1:13" x14ac:dyDescent="0.2">
      <c r="A518" s="3">
        <f>StartYear+516</f>
        <v>2541</v>
      </c>
      <c r="B518" s="4">
        <f>FacultyFTE*HoursPerWeek*WeeksPerYear*RatePerHour*(1+PracticeGrowth)^516</f>
        <v>2.4721271704778064E+16</v>
      </c>
      <c r="C518" s="4">
        <f>StudentsY1*(1+StudentGrowth)^516*CreditsPerStudent*TuitionPerCredit</f>
        <v>1.5450794815486291E+17</v>
      </c>
      <c r="D518" s="4">
        <f>SimRevY1*(1+SimGrowth)^516</f>
        <v>1.1418144793132532E+26</v>
      </c>
      <c r="E518" s="4">
        <f>FacDevRevY1*(1+FacDevGrowth)^516</f>
        <v>5.7090723965662662E+25</v>
      </c>
      <c r="F518" s="4">
        <f t="shared" si="32"/>
        <v>1.7127217205149592E+26</v>
      </c>
      <c r="G518" s="4">
        <f t="shared" si="33"/>
        <v>1.712721720762172E+26</v>
      </c>
      <c r="H518" s="4">
        <f>SalaryFTECount*SalaryPerFTE*(1+SalaryGrowth)^516</f>
        <v>129247565919153.12</v>
      </c>
      <c r="I518" s="4">
        <f>SimOpsY1*(1+SimOpsGrowth)^516</f>
        <v>5.2939408674443378E+21</v>
      </c>
      <c r="J518" s="4">
        <f>TrainDevY1*(1+TrainDevGrowth)^516</f>
        <v>2.6469704337221689E+21</v>
      </c>
      <c r="K518" s="4">
        <f>AdminY1*(1+AdminGrowth)^516</f>
        <v>2.2848435725699219E+17</v>
      </c>
      <c r="L518" s="4">
        <f t="shared" si="34"/>
        <v>7.9411399147713305E+21</v>
      </c>
      <c r="M518" s="4">
        <f t="shared" si="35"/>
        <v>1.7126423093630242E+26</v>
      </c>
    </row>
    <row r="519" spans="1:13" x14ac:dyDescent="0.2">
      <c r="A519" s="3">
        <f>StartYear+517</f>
        <v>2542</v>
      </c>
      <c r="B519" s="4">
        <f>FacultyFTE*HoursPerWeek*WeeksPerYear*RatePerHour*(1+PracticeGrowth)^517</f>
        <v>2.5957335290016968E+16</v>
      </c>
      <c r="C519" s="4">
        <f>StudentsY1*(1+StudentGrowth)^517*CreditsPerStudent*TuitionPerCredit</f>
        <v>1.6223334556260605E+17</v>
      </c>
      <c r="D519" s="4">
        <f>SimRevY1*(1+SimGrowth)^517</f>
        <v>1.2559959272445788E+26</v>
      </c>
      <c r="E519" s="4">
        <f>FacDevRevY1*(1+FacDevGrowth)^517</f>
        <v>6.2799796362228938E+25</v>
      </c>
      <c r="F519" s="4">
        <f t="shared" si="32"/>
        <v>1.8839938924892017E+26</v>
      </c>
      <c r="G519" s="4">
        <f t="shared" si="33"/>
        <v>1.8839938927487751E+26</v>
      </c>
      <c r="H519" s="4">
        <f>SalaryFTECount*SalaryPerFTE*(1+SalaryGrowth)^517</f>
        <v>134417468555919.27</v>
      </c>
      <c r="I519" s="4">
        <f>SimOpsY1*(1+SimOpsGrowth)^517</f>
        <v>5.7174561368398847E+21</v>
      </c>
      <c r="J519" s="4">
        <f>TrainDevY1*(1+TrainDevGrowth)^517</f>
        <v>2.8587280684199424E+21</v>
      </c>
      <c r="K519" s="4">
        <f>AdminY1*(1+AdminGrowth)^517</f>
        <v>2.4219341869241174E+17</v>
      </c>
      <c r="L519" s="4">
        <f t="shared" si="34"/>
        <v>8.576426533095988E+21</v>
      </c>
      <c r="M519" s="4">
        <f t="shared" si="35"/>
        <v>1.883908128483444E+26</v>
      </c>
    </row>
    <row r="520" spans="1:13" x14ac:dyDescent="0.2">
      <c r="A520" s="3">
        <f>StartYear+518</f>
        <v>2543</v>
      </c>
      <c r="B520" s="4">
        <f>FacultyFTE*HoursPerWeek*WeeksPerYear*RatePerHour*(1+PracticeGrowth)^518</f>
        <v>2.7255202054517812E+16</v>
      </c>
      <c r="C520" s="4">
        <f>StudentsY1*(1+StudentGrowth)^518*CreditsPerStudent*TuitionPerCredit</f>
        <v>1.7034501284073635E+17</v>
      </c>
      <c r="D520" s="4">
        <f>SimRevY1*(1+SimGrowth)^518</f>
        <v>1.3815955199690366E+26</v>
      </c>
      <c r="E520" s="4">
        <f>FacDevRevY1*(1+FacDevGrowth)^518</f>
        <v>6.907977599845183E+25</v>
      </c>
      <c r="F520" s="4">
        <f t="shared" si="32"/>
        <v>2.072393281657005E+26</v>
      </c>
      <c r="G520" s="4">
        <f t="shared" si="33"/>
        <v>2.0723932819295571E+26</v>
      </c>
      <c r="H520" s="4">
        <f>SalaryFTECount*SalaryPerFTE*(1+SalaryGrowth)^518</f>
        <v>139794167298156.03</v>
      </c>
      <c r="I520" s="4">
        <f>SimOpsY1*(1+SimOpsGrowth)^518</f>
        <v>6.1748526277870758E+21</v>
      </c>
      <c r="J520" s="4">
        <f>TrainDevY1*(1+TrainDevGrowth)^518</f>
        <v>3.0874263138935379E+21</v>
      </c>
      <c r="K520" s="4">
        <f>AdminY1*(1+AdminGrowth)^518</f>
        <v>2.5672502381395645E+17</v>
      </c>
      <c r="L520" s="4">
        <f t="shared" si="34"/>
        <v>9.2625358064985949E+21</v>
      </c>
      <c r="M520" s="4">
        <f t="shared" si="35"/>
        <v>2.072300656571492E+26</v>
      </c>
    </row>
    <row r="521" spans="1:13" x14ac:dyDescent="0.2">
      <c r="A521" s="3">
        <f>StartYear+519</f>
        <v>2544</v>
      </c>
      <c r="B521" s="4">
        <f>FacultyFTE*HoursPerWeek*WeeksPerYear*RatePerHour*(1+PracticeGrowth)^519</f>
        <v>2.8617962157243708E+16</v>
      </c>
      <c r="C521" s="4">
        <f>StudentsY1*(1+StudentGrowth)^519*CreditsPerStudent*TuitionPerCredit</f>
        <v>1.7886226348277318E+17</v>
      </c>
      <c r="D521" s="4">
        <f>SimRevY1*(1+SimGrowth)^519</f>
        <v>1.5197550719659406E+26</v>
      </c>
      <c r="E521" s="4">
        <f>FacDevRevY1*(1+FacDevGrowth)^519</f>
        <v>7.5987753598297032E+25</v>
      </c>
      <c r="F521" s="4">
        <f t="shared" si="32"/>
        <v>2.2796326097375337E+26</v>
      </c>
      <c r="G521" s="4">
        <f t="shared" si="33"/>
        <v>2.2796326100237132E+26</v>
      </c>
      <c r="H521" s="4">
        <f>SalaryFTECount*SalaryPerFTE*(1+SalaryGrowth)^519</f>
        <v>145385933990082.25</v>
      </c>
      <c r="I521" s="4">
        <f>SimOpsY1*(1+SimOpsGrowth)^519</f>
        <v>6.6688408380100428E+21</v>
      </c>
      <c r="J521" s="4">
        <f>TrainDevY1*(1+TrainDevGrowth)^519</f>
        <v>3.3344204190050214E+21</v>
      </c>
      <c r="K521" s="4">
        <f>AdminY1*(1+AdminGrowth)^519</f>
        <v>2.7212852524279386E+17</v>
      </c>
      <c r="L521" s="4">
        <f t="shared" si="34"/>
        <v>1.0003533530926242E+22</v>
      </c>
      <c r="M521" s="4">
        <f t="shared" si="35"/>
        <v>2.2795325746884041E+26</v>
      </c>
    </row>
    <row r="522" spans="1:13" x14ac:dyDescent="0.2">
      <c r="A522" s="3">
        <f>StartYear+520</f>
        <v>2545</v>
      </c>
      <c r="B522" s="4">
        <f>FacultyFTE*HoursPerWeek*WeeksPerYear*RatePerHour*(1+PracticeGrowth)^520</f>
        <v>3.0048860265105888E+16</v>
      </c>
      <c r="C522" s="4">
        <f>StudentsY1*(1+StudentGrowth)^520*CreditsPerStudent*TuitionPerCredit</f>
        <v>1.8780537665691181E+17</v>
      </c>
      <c r="D522" s="4">
        <f>SimRevY1*(1+SimGrowth)^520</f>
        <v>1.6717305791625347E+26</v>
      </c>
      <c r="E522" s="4">
        <f>FacDevRevY1*(1+FacDevGrowth)^520</f>
        <v>8.3586528958126733E+25</v>
      </c>
      <c r="F522" s="4">
        <f t="shared" si="32"/>
        <v>2.507595870621856E+26</v>
      </c>
      <c r="G522" s="4">
        <f t="shared" si="33"/>
        <v>2.5075958709223446E+26</v>
      </c>
      <c r="H522" s="4">
        <f>SalaryFTECount*SalaryPerFTE*(1+SalaryGrowth)^520</f>
        <v>151201371349685.59</v>
      </c>
      <c r="I522" s="4">
        <f>SimOpsY1*(1+SimOpsGrowth)^520</f>
        <v>7.2023481050508464E+21</v>
      </c>
      <c r="J522" s="4">
        <f>TrainDevY1*(1+TrainDevGrowth)^520</f>
        <v>3.6011740525254232E+21</v>
      </c>
      <c r="K522" s="4">
        <f>AdminY1*(1+AdminGrowth)^520</f>
        <v>2.8845623675736147E+17</v>
      </c>
      <c r="L522" s="4">
        <f t="shared" si="34"/>
        <v>1.0803810765014397E+22</v>
      </c>
      <c r="M522" s="4">
        <f t="shared" si="35"/>
        <v>2.5074878328146943E+26</v>
      </c>
    </row>
    <row r="523" spans="1:13" x14ac:dyDescent="0.2">
      <c r="A523" s="3">
        <f>StartYear+521</f>
        <v>2546</v>
      </c>
      <c r="B523" s="4">
        <f>FacultyFTE*HoursPerWeek*WeeksPerYear*RatePerHour*(1+PracticeGrowth)^521</f>
        <v>3.1551303278361188E+16</v>
      </c>
      <c r="C523" s="4">
        <f>StudentsY1*(1+StudentGrowth)^521*CreditsPerStudent*TuitionPerCredit</f>
        <v>1.9719564548975741E+17</v>
      </c>
      <c r="D523" s="4">
        <f>SimRevY1*(1+SimGrowth)^521</f>
        <v>1.838903637078788E+26</v>
      </c>
      <c r="E523" s="4">
        <f>FacDevRevY1*(1+FacDevGrowth)^521</f>
        <v>9.1945181853939398E+25</v>
      </c>
      <c r="F523" s="4">
        <f t="shared" si="32"/>
        <v>2.7583554575901383E+26</v>
      </c>
      <c r="G523" s="4">
        <f t="shared" si="33"/>
        <v>2.7583554579056514E+26</v>
      </c>
      <c r="H523" s="4">
        <f>SalaryFTECount*SalaryPerFTE*(1+SalaryGrowth)^521</f>
        <v>157249426203673</v>
      </c>
      <c r="I523" s="4">
        <f>SimOpsY1*(1+SimOpsGrowth)^521</f>
        <v>7.7785359534549149E+21</v>
      </c>
      <c r="J523" s="4">
        <f>TrainDevY1*(1+TrainDevGrowth)^521</f>
        <v>3.8892679767274574E+21</v>
      </c>
      <c r="K523" s="4">
        <f>AdminY1*(1+AdminGrowth)^521</f>
        <v>3.0576361096280314E+17</v>
      </c>
      <c r="L523" s="4">
        <f t="shared" si="34"/>
        <v>1.166810985104276E+22</v>
      </c>
      <c r="M523" s="4">
        <f t="shared" si="35"/>
        <v>2.7582387768071411E+26</v>
      </c>
    </row>
    <row r="524" spans="1:13" x14ac:dyDescent="0.2">
      <c r="A524" s="3">
        <f>StartYear+522</f>
        <v>2547</v>
      </c>
      <c r="B524" s="4">
        <f>FacultyFTE*HoursPerWeek*WeeksPerYear*RatePerHour*(1+PracticeGrowth)^522</f>
        <v>3.3128868442279244E+16</v>
      </c>
      <c r="C524" s="4">
        <f>StudentsY1*(1+StudentGrowth)^522*CreditsPerStudent*TuitionPerCredit</f>
        <v>2.0705542776424531E+17</v>
      </c>
      <c r="D524" s="4">
        <f>SimRevY1*(1+SimGrowth)^522</f>
        <v>2.0227940007866671E+26</v>
      </c>
      <c r="E524" s="4">
        <f>FacDevRevY1*(1+FacDevGrowth)^522</f>
        <v>1.0113970003933335E+26</v>
      </c>
      <c r="F524" s="4">
        <f t="shared" si="32"/>
        <v>3.0341910032505548E+26</v>
      </c>
      <c r="G524" s="4">
        <f t="shared" si="33"/>
        <v>3.0341910035818435E+26</v>
      </c>
      <c r="H524" s="4">
        <f>SalaryFTECount*SalaryPerFTE*(1+SalaryGrowth)^522</f>
        <v>163539403251819.94</v>
      </c>
      <c r="I524" s="4">
        <f>SimOpsY1*(1+SimOpsGrowth)^522</f>
        <v>8.4008188297313077E+21</v>
      </c>
      <c r="J524" s="4">
        <f>TrainDevY1*(1+TrainDevGrowth)^522</f>
        <v>4.2004094148656539E+21</v>
      </c>
      <c r="K524" s="4">
        <f>AdminY1*(1+AdminGrowth)^522</f>
        <v>3.2410942762057139E+17</v>
      </c>
      <c r="L524" s="4">
        <f t="shared" si="34"/>
        <v>1.2601552517563985E+22</v>
      </c>
      <c r="M524" s="4">
        <f t="shared" si="35"/>
        <v>3.0340649880566678E+26</v>
      </c>
    </row>
    <row r="525" spans="1:13" x14ac:dyDescent="0.2">
      <c r="A525" s="3">
        <f>StartYear+523</f>
        <v>2548</v>
      </c>
      <c r="B525" s="4">
        <f>FacultyFTE*HoursPerWeek*WeeksPerYear*RatePerHour*(1+PracticeGrowth)^523</f>
        <v>3.4785311864393212E+16</v>
      </c>
      <c r="C525" s="4">
        <f>StudentsY1*(1+StudentGrowth)^523*CreditsPerStudent*TuitionPerCredit</f>
        <v>2.1740819915245754E+17</v>
      </c>
      <c r="D525" s="4">
        <f>SimRevY1*(1+SimGrowth)^523</f>
        <v>2.2250734008653344E+26</v>
      </c>
      <c r="E525" s="4">
        <f>FacDevRevY1*(1+FacDevGrowth)^523</f>
        <v>1.1125367004326672E+26</v>
      </c>
      <c r="F525" s="4">
        <f t="shared" si="32"/>
        <v>3.3376101034720838E+26</v>
      </c>
      <c r="G525" s="4">
        <f t="shared" si="33"/>
        <v>3.337610103819937E+26</v>
      </c>
      <c r="H525" s="4">
        <f>SalaryFTECount*SalaryPerFTE*(1+SalaryGrowth)^523</f>
        <v>170080979381892.72</v>
      </c>
      <c r="I525" s="4">
        <f>SimOpsY1*(1+SimOpsGrowth)^523</f>
        <v>9.0728843361098127E+21</v>
      </c>
      <c r="J525" s="4">
        <f>TrainDevY1*(1+TrainDevGrowth)^523</f>
        <v>4.5364421680549064E+21</v>
      </c>
      <c r="K525" s="4">
        <f>AdminY1*(1+AdminGrowth)^523</f>
        <v>3.4355599327780576E+17</v>
      </c>
      <c r="L525" s="4">
        <f t="shared" si="34"/>
        <v>1.3609670230238975E+22</v>
      </c>
      <c r="M525" s="4">
        <f t="shared" si="35"/>
        <v>3.3374740071176349E+26</v>
      </c>
    </row>
    <row r="526" spans="1:13" x14ac:dyDescent="0.2">
      <c r="A526" s="3">
        <f>StartYear+524</f>
        <v>2549</v>
      </c>
      <c r="B526" s="4">
        <f>FacultyFTE*HoursPerWeek*WeeksPerYear*RatePerHour*(1+PracticeGrowth)^524</f>
        <v>3.6524577457612864E+16</v>
      </c>
      <c r="C526" s="4">
        <f>StudentsY1*(1+StudentGrowth)^524*CreditsPerStudent*TuitionPerCredit</f>
        <v>2.2827860911008038E+17</v>
      </c>
      <c r="D526" s="4">
        <f>SimRevY1*(1+SimGrowth)^524</f>
        <v>2.4475807409518673E+26</v>
      </c>
      <c r="E526" s="4">
        <f>FacDevRevY1*(1+FacDevGrowth)^524</f>
        <v>1.2237903704759336E+26</v>
      </c>
      <c r="F526" s="4">
        <f t="shared" si="32"/>
        <v>3.671371113710587E+26</v>
      </c>
      <c r="G526" s="4">
        <f t="shared" si="33"/>
        <v>3.6713711140758331E+26</v>
      </c>
      <c r="H526" s="4">
        <f>SalaryFTECount*SalaryPerFTE*(1+SalaryGrowth)^524</f>
        <v>176884218557168.47</v>
      </c>
      <c r="I526" s="4">
        <f>SimOpsY1*(1+SimOpsGrowth)^524</f>
        <v>9.7987150829985989E+21</v>
      </c>
      <c r="J526" s="4">
        <f>TrainDevY1*(1+TrainDevGrowth)^524</f>
        <v>4.8993575414992994E+21</v>
      </c>
      <c r="K526" s="4">
        <f>AdminY1*(1+AdminGrowth)^524</f>
        <v>3.6416935287447405E+17</v>
      </c>
      <c r="L526" s="4">
        <f t="shared" si="34"/>
        <v>1.469843697073499E+22</v>
      </c>
      <c r="M526" s="4">
        <f t="shared" si="35"/>
        <v>3.6712241297061255E+26</v>
      </c>
    </row>
    <row r="527" spans="1:13" x14ac:dyDescent="0.2">
      <c r="A527" s="3">
        <f>StartYear+525</f>
        <v>2550</v>
      </c>
      <c r="B527" s="4">
        <f>FacultyFTE*HoursPerWeek*WeeksPerYear*RatePerHour*(1+PracticeGrowth)^525</f>
        <v>3.835080633049352E+16</v>
      </c>
      <c r="C527" s="4">
        <f>StudentsY1*(1+StudentGrowth)^525*CreditsPerStudent*TuitionPerCredit</f>
        <v>2.3969253956558448E+17</v>
      </c>
      <c r="D527" s="4">
        <f>SimRevY1*(1+SimGrowth)^525</f>
        <v>2.692338815047054E+26</v>
      </c>
      <c r="E527" s="4">
        <f>FacDevRevY1*(1+FacDevGrowth)^525</f>
        <v>1.346169407523527E+26</v>
      </c>
      <c r="F527" s="4">
        <f t="shared" si="32"/>
        <v>4.0385082249675064E+26</v>
      </c>
      <c r="G527" s="4">
        <f t="shared" si="33"/>
        <v>4.0385082253510147E+26</v>
      </c>
      <c r="H527" s="4">
        <f>SalaryFTECount*SalaryPerFTE*(1+SalaryGrowth)^525</f>
        <v>183959587299455.22</v>
      </c>
      <c r="I527" s="4">
        <f>SimOpsY1*(1+SimOpsGrowth)^525</f>
        <v>1.0582612289638487E+22</v>
      </c>
      <c r="J527" s="4">
        <f>TrainDevY1*(1+TrainDevGrowth)^525</f>
        <v>5.2913061448192434E+21</v>
      </c>
      <c r="K527" s="4">
        <f>AdminY1*(1+AdminGrowth)^525</f>
        <v>3.8601951404694259E+17</v>
      </c>
      <c r="L527" s="4">
        <f t="shared" si="34"/>
        <v>1.5874304637931365E+22</v>
      </c>
      <c r="M527" s="4">
        <f t="shared" si="35"/>
        <v>4.0383494823046357E+26</v>
      </c>
    </row>
    <row r="528" spans="1:13" x14ac:dyDescent="0.2">
      <c r="A528" s="3">
        <f>StartYear+526</f>
        <v>2551</v>
      </c>
      <c r="B528" s="4">
        <f>FacultyFTE*HoursPerWeek*WeeksPerYear*RatePerHour*(1+PracticeGrowth)^526</f>
        <v>4.0268346647018184E+16</v>
      </c>
      <c r="C528" s="4">
        <f>StudentsY1*(1+StudentGrowth)^526*CreditsPerStudent*TuitionPerCredit</f>
        <v>2.5167716654386365E+17</v>
      </c>
      <c r="D528" s="4">
        <f>SimRevY1*(1+SimGrowth)^526</f>
        <v>2.9615726965517605E+26</v>
      </c>
      <c r="E528" s="4">
        <f>FacDevRevY1*(1+FacDevGrowth)^526</f>
        <v>1.4807863482758802E+26</v>
      </c>
      <c r="F528" s="4">
        <f t="shared" si="32"/>
        <v>4.4423590473444127E+26</v>
      </c>
      <c r="G528" s="4">
        <f t="shared" si="33"/>
        <v>4.4423590477470965E+26</v>
      </c>
      <c r="H528" s="4">
        <f>SalaryFTECount*SalaryPerFTE*(1+SalaryGrowth)^526</f>
        <v>191317970791433.44</v>
      </c>
      <c r="I528" s="4">
        <f>SimOpsY1*(1+SimOpsGrowth)^526</f>
        <v>1.1429221272809569E+22</v>
      </c>
      <c r="J528" s="4">
        <f>TrainDevY1*(1+TrainDevGrowth)^526</f>
        <v>5.7146106364047844E+21</v>
      </c>
      <c r="K528" s="4">
        <f>AdminY1*(1+AdminGrowth)^526</f>
        <v>4.0918068488975917E+17</v>
      </c>
      <c r="L528" s="4">
        <f t="shared" si="34"/>
        <v>1.7144241281217214E+22</v>
      </c>
      <c r="M528" s="4">
        <f t="shared" si="35"/>
        <v>4.4421876053342843E+26</v>
      </c>
    </row>
    <row r="529" spans="1:13" x14ac:dyDescent="0.2">
      <c r="A529" s="3">
        <f>StartYear+527</f>
        <v>2552</v>
      </c>
      <c r="B529" s="4">
        <f>FacultyFTE*HoursPerWeek*WeeksPerYear*RatePerHour*(1+PracticeGrowth)^527</f>
        <v>4.2281763979369104E+16</v>
      </c>
      <c r="C529" s="4">
        <f>StudentsY1*(1+StudentGrowth)^527*CreditsPerStudent*TuitionPerCredit</f>
        <v>2.642610248710569E+17</v>
      </c>
      <c r="D529" s="4">
        <f>SimRevY1*(1+SimGrowth)^527</f>
        <v>3.2577299662069366E+26</v>
      </c>
      <c r="E529" s="4">
        <f>FacDevRevY1*(1+FacDevGrowth)^527</f>
        <v>1.6288649831034683E+26</v>
      </c>
      <c r="F529" s="4">
        <f t="shared" si="32"/>
        <v>4.8865949519530148E+26</v>
      </c>
      <c r="G529" s="4">
        <f t="shared" si="33"/>
        <v>4.8865949523758326E+26</v>
      </c>
      <c r="H529" s="4">
        <f>SalaryFTECount*SalaryPerFTE*(1+SalaryGrowth)^527</f>
        <v>198970689623090.75</v>
      </c>
      <c r="I529" s="4">
        <f>SimOpsY1*(1+SimOpsGrowth)^527</f>
        <v>1.2343558974634333E+22</v>
      </c>
      <c r="J529" s="4">
        <f>TrainDevY1*(1+TrainDevGrowth)^527</f>
        <v>6.1717794873171667E+21</v>
      </c>
      <c r="K529" s="4">
        <f>AdminY1*(1+AdminGrowth)^527</f>
        <v>4.3373152598314477E+17</v>
      </c>
      <c r="L529" s="4">
        <f t="shared" si="34"/>
        <v>1.8515772392448171E+22</v>
      </c>
      <c r="M529" s="4">
        <f t="shared" si="35"/>
        <v>4.8864097946519079E+26</v>
      </c>
    </row>
    <row r="530" spans="1:13" x14ac:dyDescent="0.2">
      <c r="A530" s="3">
        <f>StartYear+528</f>
        <v>2553</v>
      </c>
      <c r="B530" s="4">
        <f>FacultyFTE*HoursPerWeek*WeeksPerYear*RatePerHour*(1+PracticeGrowth)^528</f>
        <v>4.439585217833756E+16</v>
      </c>
      <c r="C530" s="4">
        <f>StudentsY1*(1+StudentGrowth)^528*CreditsPerStudent*TuitionPerCredit</f>
        <v>2.7747407611460973E+17</v>
      </c>
      <c r="D530" s="4">
        <f>SimRevY1*(1+SimGrowth)^528</f>
        <v>3.5835029628276299E+26</v>
      </c>
      <c r="E530" s="4">
        <f>FacDevRevY1*(1+FacDevGrowth)^528</f>
        <v>1.7917514814138149E+26</v>
      </c>
      <c r="F530" s="4">
        <f t="shared" si="32"/>
        <v>5.3752544470161854E+26</v>
      </c>
      <c r="G530" s="4">
        <f t="shared" si="33"/>
        <v>5.3752544474601442E+26</v>
      </c>
      <c r="H530" s="4">
        <f>SalaryFTECount*SalaryPerFTE*(1+SalaryGrowth)^528</f>
        <v>206929517208014.44</v>
      </c>
      <c r="I530" s="4">
        <f>SimOpsY1*(1+SimOpsGrowth)^528</f>
        <v>1.333104369260508E+22</v>
      </c>
      <c r="J530" s="4">
        <f>TrainDevY1*(1+TrainDevGrowth)^528</f>
        <v>6.6655218463025398E+21</v>
      </c>
      <c r="K530" s="4">
        <f>AdminY1*(1+AdminGrowth)^528</f>
        <v>4.5975541754213338E+17</v>
      </c>
      <c r="L530" s="4">
        <f t="shared" si="34"/>
        <v>1.9997025501254678E+22</v>
      </c>
      <c r="M530" s="4">
        <f t="shared" si="35"/>
        <v>5.3750544772051315E+26</v>
      </c>
    </row>
    <row r="531" spans="1:13" x14ac:dyDescent="0.2">
      <c r="A531" s="3">
        <f>StartYear+529</f>
        <v>2554</v>
      </c>
      <c r="B531" s="4">
        <f>FacultyFTE*HoursPerWeek*WeeksPerYear*RatePerHour*(1+PracticeGrowth)^529</f>
        <v>4.661564478725444E+16</v>
      </c>
      <c r="C531" s="4">
        <f>StudentsY1*(1+StudentGrowth)^529*CreditsPerStudent*TuitionPerCredit</f>
        <v>2.9134777992034022E+17</v>
      </c>
      <c r="D531" s="4">
        <f>SimRevY1*(1+SimGrowth)^529</f>
        <v>3.9418532591103934E+26</v>
      </c>
      <c r="E531" s="4">
        <f>FacDevRevY1*(1+FacDevGrowth)^529</f>
        <v>1.9709266295551967E+26</v>
      </c>
      <c r="F531" s="4">
        <f t="shared" si="32"/>
        <v>5.9127798915790678E+26</v>
      </c>
      <c r="G531" s="4">
        <f t="shared" si="33"/>
        <v>5.9127798920452243E+26</v>
      </c>
      <c r="H531" s="4">
        <f>SalaryFTECount*SalaryPerFTE*(1+SalaryGrowth)^529</f>
        <v>215206697896335</v>
      </c>
      <c r="I531" s="4">
        <f>SimOpsY1*(1+SimOpsGrowth)^529</f>
        <v>1.4397527188013486E+22</v>
      </c>
      <c r="J531" s="4">
        <f>TrainDevY1*(1+TrainDevGrowth)^529</f>
        <v>7.198763594006743E+21</v>
      </c>
      <c r="K531" s="4">
        <f>AdminY1*(1+AdminGrowth)^529</f>
        <v>4.8734074259466138E+17</v>
      </c>
      <c r="L531" s="4">
        <f t="shared" si="34"/>
        <v>2.1596778337969522E+22</v>
      </c>
      <c r="M531" s="4">
        <f t="shared" si="35"/>
        <v>5.9125639242618446E+26</v>
      </c>
    </row>
    <row r="532" spans="1:13" x14ac:dyDescent="0.2">
      <c r="A532" s="3">
        <f>StartYear+530</f>
        <v>2555</v>
      </c>
      <c r="B532" s="4">
        <f>FacultyFTE*HoursPerWeek*WeeksPerYear*RatePerHour*(1+PracticeGrowth)^530</f>
        <v>4.8946427026617168E+16</v>
      </c>
      <c r="C532" s="4">
        <f>StudentsY1*(1+StudentGrowth)^530*CreditsPerStudent*TuitionPerCredit</f>
        <v>3.0591516891635725E+17</v>
      </c>
      <c r="D532" s="4">
        <f>SimRevY1*(1+SimGrowth)^530</f>
        <v>4.3360385850214332E+26</v>
      </c>
      <c r="E532" s="4">
        <f>FacDevRevY1*(1+FacDevGrowth)^530</f>
        <v>2.1680192925107166E+26</v>
      </c>
      <c r="F532" s="4">
        <f t="shared" si="32"/>
        <v>6.5040578805913021E+26</v>
      </c>
      <c r="G532" s="4">
        <f t="shared" si="33"/>
        <v>6.5040578810807662E+26</v>
      </c>
      <c r="H532" s="4">
        <f>SalaryFTECount*SalaryPerFTE*(1+SalaryGrowth)^530</f>
        <v>223814965812188.44</v>
      </c>
      <c r="I532" s="4">
        <f>SimOpsY1*(1+SimOpsGrowth)^530</f>
        <v>1.5549329363054566E+22</v>
      </c>
      <c r="J532" s="4">
        <f>TrainDevY1*(1+TrainDevGrowth)^530</f>
        <v>7.774664681527283E+21</v>
      </c>
      <c r="K532" s="4">
        <f>AdminY1*(1+AdminGrowth)^530</f>
        <v>5.1658118715034112E+17</v>
      </c>
      <c r="L532" s="4">
        <f t="shared" si="34"/>
        <v>2.3324510849583964E+22</v>
      </c>
      <c r="M532" s="4">
        <f t="shared" si="35"/>
        <v>6.5038246359722705E+26</v>
      </c>
    </row>
    <row r="533" spans="1:13" x14ac:dyDescent="0.2">
      <c r="A533" s="3">
        <f>StartYear+531</f>
        <v>2556</v>
      </c>
      <c r="B533" s="4">
        <f>FacultyFTE*HoursPerWeek*WeeksPerYear*RatePerHour*(1+PracticeGrowth)^531</f>
        <v>5.1393748377948024E+16</v>
      </c>
      <c r="C533" s="4">
        <f>StudentsY1*(1+StudentGrowth)^531*CreditsPerStudent*TuitionPerCredit</f>
        <v>3.212109273621751E+17</v>
      </c>
      <c r="D533" s="4">
        <f>SimRevY1*(1+SimGrowth)^531</f>
        <v>4.7696424435235769E+26</v>
      </c>
      <c r="E533" s="4">
        <f>FacDevRevY1*(1+FacDevGrowth)^531</f>
        <v>2.3848212217617884E+26</v>
      </c>
      <c r="F533" s="4">
        <f t="shared" si="32"/>
        <v>7.1544636684974737E+26</v>
      </c>
      <c r="G533" s="4">
        <f t="shared" si="33"/>
        <v>7.1544636690114116E+26</v>
      </c>
      <c r="H533" s="4">
        <f>SalaryFTECount*SalaryPerFTE*(1+SalaryGrowth)^531</f>
        <v>232767564444675.97</v>
      </c>
      <c r="I533" s="4">
        <f>SimOpsY1*(1+SimOpsGrowth)^531</f>
        <v>1.6793275712098934E+22</v>
      </c>
      <c r="J533" s="4">
        <f>TrainDevY1*(1+TrainDevGrowth)^531</f>
        <v>8.396637856049467E+21</v>
      </c>
      <c r="K533" s="4">
        <f>AdminY1*(1+AdminGrowth)^531</f>
        <v>5.4757605837936166E+17</v>
      </c>
      <c r="L533" s="4">
        <f t="shared" si="34"/>
        <v>2.5190461376974345E+22</v>
      </c>
      <c r="M533" s="4">
        <f t="shared" si="35"/>
        <v>7.1542117643976413E+26</v>
      </c>
    </row>
    <row r="534" spans="1:13" x14ac:dyDescent="0.2">
      <c r="A534" s="3">
        <f>StartYear+532</f>
        <v>2557</v>
      </c>
      <c r="B534" s="4">
        <f>FacultyFTE*HoursPerWeek*WeeksPerYear*RatePerHour*(1+PracticeGrowth)^532</f>
        <v>5.3963435796845416E+16</v>
      </c>
      <c r="C534" s="4">
        <f>StudentsY1*(1+StudentGrowth)^532*CreditsPerStudent*TuitionPerCredit</f>
        <v>3.3727147373028384E+17</v>
      </c>
      <c r="D534" s="4">
        <f>SimRevY1*(1+SimGrowth)^532</f>
        <v>5.2466066878759344E+26</v>
      </c>
      <c r="E534" s="4">
        <f>FacDevRevY1*(1+FacDevGrowth)^532</f>
        <v>2.6233033439379672E+26</v>
      </c>
      <c r="F534" s="4">
        <f t="shared" si="32"/>
        <v>7.8699100351866171E+26</v>
      </c>
      <c r="G534" s="4">
        <f t="shared" si="33"/>
        <v>7.8699100357262519E+26</v>
      </c>
      <c r="H534" s="4">
        <f>SalaryFTECount*SalaryPerFTE*(1+SalaryGrowth)^532</f>
        <v>242078267022463</v>
      </c>
      <c r="I534" s="4">
        <f>SimOpsY1*(1+SimOpsGrowth)^532</f>
        <v>1.8136737769066848E+22</v>
      </c>
      <c r="J534" s="4">
        <f>TrainDevY1*(1+TrainDevGrowth)^532</f>
        <v>9.068368884533424E+21</v>
      </c>
      <c r="K534" s="4">
        <f>AdminY1*(1+AdminGrowth)^532</f>
        <v>5.8043062188212326E+17</v>
      </c>
      <c r="L534" s="4">
        <f t="shared" si="34"/>
        <v>2.720568732630042E+22</v>
      </c>
      <c r="M534" s="4">
        <f t="shared" si="35"/>
        <v>7.8696379788529888E+26</v>
      </c>
    </row>
    <row r="535" spans="1:13" x14ac:dyDescent="0.2">
      <c r="A535" s="3">
        <f>StartYear+533</f>
        <v>2558</v>
      </c>
      <c r="B535" s="4">
        <f>FacultyFTE*HoursPerWeek*WeeksPerYear*RatePerHour*(1+PracticeGrowth)^533</f>
        <v>5.6661607586687688E+16</v>
      </c>
      <c r="C535" s="4">
        <f>StudentsY1*(1+StudentGrowth)^533*CreditsPerStudent*TuitionPerCredit</f>
        <v>3.5413504741679795E+17</v>
      </c>
      <c r="D535" s="4">
        <f>SimRevY1*(1+SimGrowth)^533</f>
        <v>5.7712673566635287E+26</v>
      </c>
      <c r="E535" s="4">
        <f>FacDevRevY1*(1+FacDevGrowth)^533</f>
        <v>2.8856336783317643E+26</v>
      </c>
      <c r="F535" s="4">
        <f t="shared" si="32"/>
        <v>8.6569010385366437E+26</v>
      </c>
      <c r="G535" s="4">
        <f t="shared" si="33"/>
        <v>8.6569010391032591E+26</v>
      </c>
      <c r="H535" s="4">
        <f>SalaryFTECount*SalaryPerFTE*(1+SalaryGrowth)^533</f>
        <v>251761397703361.59</v>
      </c>
      <c r="I535" s="4">
        <f>SimOpsY1*(1+SimOpsGrowth)^533</f>
        <v>1.9587676790592194E+22</v>
      </c>
      <c r="J535" s="4">
        <f>TrainDevY1*(1+TrainDevGrowth)^533</f>
        <v>9.7938383952960972E+21</v>
      </c>
      <c r="K535" s="4">
        <f>AdminY1*(1+AdminGrowth)^533</f>
        <v>6.1525645919505088E+17</v>
      </c>
      <c r="L535" s="4">
        <f t="shared" si="34"/>
        <v>2.9382130694108882E+22</v>
      </c>
      <c r="M535" s="4">
        <f t="shared" si="35"/>
        <v>8.6566072177963177E+26</v>
      </c>
    </row>
    <row r="536" spans="1:13" x14ac:dyDescent="0.2">
      <c r="A536" s="3">
        <f>StartYear+534</f>
        <v>2559</v>
      </c>
      <c r="B536" s="4">
        <f>FacultyFTE*HoursPerWeek*WeeksPerYear*RatePerHour*(1+PracticeGrowth)^534</f>
        <v>5.9494687966022072E+16</v>
      </c>
      <c r="C536" s="4">
        <f>StudentsY1*(1+StudentGrowth)^534*CreditsPerStudent*TuitionPerCredit</f>
        <v>3.7184179978763795E+17</v>
      </c>
      <c r="D536" s="4">
        <f>SimRevY1*(1+SimGrowth)^534</f>
        <v>6.3483940923298815E+26</v>
      </c>
      <c r="E536" s="4">
        <f>FacDevRevY1*(1+FacDevGrowth)^534</f>
        <v>3.1741970461649407E+26</v>
      </c>
      <c r="F536" s="4">
        <f t="shared" si="32"/>
        <v>9.52259114221324E+26</v>
      </c>
      <c r="G536" s="4">
        <f t="shared" si="33"/>
        <v>9.5225911428081871E+26</v>
      </c>
      <c r="H536" s="4">
        <f>SalaryFTECount*SalaryPerFTE*(1+SalaryGrowth)^534</f>
        <v>261831853611496</v>
      </c>
      <c r="I536" s="4">
        <f>SimOpsY1*(1+SimOpsGrowth)^534</f>
        <v>2.1154690933839576E+22</v>
      </c>
      <c r="J536" s="4">
        <f>TrainDevY1*(1+TrainDevGrowth)^534</f>
        <v>1.0577345466919788E+22</v>
      </c>
      <c r="K536" s="4">
        <f>AdminY1*(1+AdminGrowth)^534</f>
        <v>6.5217184674675392E+17</v>
      </c>
      <c r="L536" s="4">
        <f t="shared" si="34"/>
        <v>3.1732688834437965E+22</v>
      </c>
      <c r="M536" s="4">
        <f t="shared" si="35"/>
        <v>9.5222738159198433E+26</v>
      </c>
    </row>
    <row r="537" spans="1:13" x14ac:dyDescent="0.2">
      <c r="A537" s="3">
        <f>StartYear+535</f>
        <v>2560</v>
      </c>
      <c r="B537" s="4">
        <f>FacultyFTE*HoursPerWeek*WeeksPerYear*RatePerHour*(1+PracticeGrowth)^535</f>
        <v>6.2469422364323192E+16</v>
      </c>
      <c r="C537" s="4">
        <f>StudentsY1*(1+StudentGrowth)^535*CreditsPerStudent*TuitionPerCredit</f>
        <v>3.9043388977701997E+17</v>
      </c>
      <c r="D537" s="4">
        <f>SimRevY1*(1+SimGrowth)^535</f>
        <v>6.9832335015628713E+26</v>
      </c>
      <c r="E537" s="4">
        <f>FacDevRevY1*(1+FacDevGrowth)^535</f>
        <v>3.4916167507814356E+26</v>
      </c>
      <c r="F537" s="4">
        <f t="shared" si="32"/>
        <v>1.0474850256248645E+27</v>
      </c>
      <c r="G537" s="4">
        <f t="shared" si="33"/>
        <v>1.047485025687334E+27</v>
      </c>
      <c r="H537" s="4">
        <f>SalaryFTECount*SalaryPerFTE*(1+SalaryGrowth)^535</f>
        <v>272305127755955.84</v>
      </c>
      <c r="I537" s="4">
        <f>SimOpsY1*(1+SimOpsGrowth)^535</f>
        <v>2.2847066208546738E+22</v>
      </c>
      <c r="J537" s="4">
        <f>TrainDevY1*(1+TrainDevGrowth)^535</f>
        <v>1.1423533104273369E+22</v>
      </c>
      <c r="K537" s="4">
        <f>AdminY1*(1+AdminGrowth)^535</f>
        <v>6.9130215755155917E+17</v>
      </c>
      <c r="L537" s="4">
        <f t="shared" si="34"/>
        <v>3.4271290887282786E+22</v>
      </c>
      <c r="M537" s="4">
        <f t="shared" si="35"/>
        <v>1.0474507543964467E+27</v>
      </c>
    </row>
    <row r="538" spans="1:13" x14ac:dyDescent="0.2">
      <c r="A538" s="3">
        <f>StartYear+536</f>
        <v>2561</v>
      </c>
      <c r="B538" s="4">
        <f>FacultyFTE*HoursPerWeek*WeeksPerYear*RatePerHour*(1+PracticeGrowth)^536</f>
        <v>6.5592893482539336E+16</v>
      </c>
      <c r="C538" s="4">
        <f>StudentsY1*(1+StudentGrowth)^536*CreditsPerStudent*TuitionPerCredit</f>
        <v>4.0995558426587085E+17</v>
      </c>
      <c r="D538" s="4">
        <f>SimRevY1*(1+SimGrowth)^536</f>
        <v>7.6815568517191576E+26</v>
      </c>
      <c r="E538" s="4">
        <f>FacDevRevY1*(1+FacDevGrowth)^536</f>
        <v>3.8407784258595788E+26</v>
      </c>
      <c r="F538" s="4">
        <f t="shared" si="32"/>
        <v>1.1522335281678292E+27</v>
      </c>
      <c r="G538" s="4">
        <f t="shared" si="33"/>
        <v>1.1522335282334221E+27</v>
      </c>
      <c r="H538" s="4">
        <f>SalaryFTECount*SalaryPerFTE*(1+SalaryGrowth)^536</f>
        <v>283197332866194.12</v>
      </c>
      <c r="I538" s="4">
        <f>SimOpsY1*(1+SimOpsGrowth)^536</f>
        <v>2.4674831505230481E+22</v>
      </c>
      <c r="J538" s="4">
        <f>TrainDevY1*(1+TrainDevGrowth)^536</f>
        <v>1.2337415752615241E+22</v>
      </c>
      <c r="K538" s="4">
        <f>AdminY1*(1+AdminGrowth)^536</f>
        <v>7.3278028700465267E+17</v>
      </c>
      <c r="L538" s="4">
        <f t="shared" si="34"/>
        <v>3.701298032133006E+22</v>
      </c>
      <c r="M538" s="4">
        <f t="shared" si="35"/>
        <v>1.1521965152531007E+27</v>
      </c>
    </row>
    <row r="539" spans="1:13" x14ac:dyDescent="0.2">
      <c r="A539" s="3">
        <f>StartYear+537</f>
        <v>2562</v>
      </c>
      <c r="B539" s="4">
        <f>FacultyFTE*HoursPerWeek*WeeksPerYear*RatePerHour*(1+PracticeGrowth)^537</f>
        <v>6.8872538156666296E+16</v>
      </c>
      <c r="C539" s="4">
        <f>StudentsY1*(1+StudentGrowth)^537*CreditsPerStudent*TuitionPerCredit</f>
        <v>4.3045336347916442E+17</v>
      </c>
      <c r="D539" s="4">
        <f>SimRevY1*(1+SimGrowth)^537</f>
        <v>8.4497125368910751E+26</v>
      </c>
      <c r="E539" s="4">
        <f>FacDevRevY1*(1+FacDevGrowth)^537</f>
        <v>4.2248562684455376E+26</v>
      </c>
      <c r="F539" s="4">
        <f t="shared" si="32"/>
        <v>1.2674568809641146E+27</v>
      </c>
      <c r="G539" s="4">
        <f t="shared" si="33"/>
        <v>1.2674568810329872E+27</v>
      </c>
      <c r="H539" s="4">
        <f>SalaryFTECount*SalaryPerFTE*(1+SalaryGrowth)^537</f>
        <v>294525226180841.94</v>
      </c>
      <c r="I539" s="4">
        <f>SimOpsY1*(1+SimOpsGrowth)^537</f>
        <v>2.6648818025648926E+22</v>
      </c>
      <c r="J539" s="4">
        <f>TrainDevY1*(1+TrainDevGrowth)^537</f>
        <v>1.3324409012824463E+22</v>
      </c>
      <c r="K539" s="4">
        <f>AdminY1*(1+AdminGrowth)^537</f>
        <v>7.7674710422493184E+17</v>
      </c>
      <c r="L539" s="4">
        <f t="shared" si="34"/>
        <v>3.9974004080102835E+22</v>
      </c>
      <c r="M539" s="4">
        <f t="shared" si="35"/>
        <v>1.2674169070289071E+27</v>
      </c>
    </row>
    <row r="540" spans="1:13" x14ac:dyDescent="0.2">
      <c r="A540" s="3">
        <f>StartYear+538</f>
        <v>2563</v>
      </c>
      <c r="B540" s="4">
        <f>FacultyFTE*HoursPerWeek*WeeksPerYear*RatePerHour*(1+PracticeGrowth)^538</f>
        <v>7.2316165064499632E+16</v>
      </c>
      <c r="C540" s="4">
        <f>StudentsY1*(1+StudentGrowth)^538*CreditsPerStudent*TuitionPerCredit</f>
        <v>4.5197603165312262E+17</v>
      </c>
      <c r="D540" s="4">
        <f>SimRevY1*(1+SimGrowth)^538</f>
        <v>9.294683790580183E+26</v>
      </c>
      <c r="E540" s="4">
        <f>FacDevRevY1*(1+FacDevGrowth)^538</f>
        <v>4.6473418952900915E+26</v>
      </c>
      <c r="F540" s="4">
        <f t="shared" si="32"/>
        <v>1.3942025690390034E+27</v>
      </c>
      <c r="G540" s="4">
        <f t="shared" si="33"/>
        <v>1.3942025691113196E+27</v>
      </c>
      <c r="H540" s="4">
        <f>SalaryFTECount*SalaryPerFTE*(1+SalaryGrowth)^538</f>
        <v>306306235228075.56</v>
      </c>
      <c r="I540" s="4">
        <f>SimOpsY1*(1+SimOpsGrowth)^538</f>
        <v>2.8780723467700836E+22</v>
      </c>
      <c r="J540" s="4">
        <f>TrainDevY1*(1+TrainDevGrowth)^538</f>
        <v>1.4390361733850418E+22</v>
      </c>
      <c r="K540" s="4">
        <f>AdminY1*(1+AdminGrowth)^538</f>
        <v>8.2335193047842778E+17</v>
      </c>
      <c r="L540" s="4">
        <f t="shared" si="34"/>
        <v>4.3171908859787974E+22</v>
      </c>
      <c r="M540" s="4">
        <f t="shared" si="35"/>
        <v>1.3941593972024597E+27</v>
      </c>
    </row>
    <row r="541" spans="1:13" x14ac:dyDescent="0.2">
      <c r="A541" s="3">
        <f>StartYear+539</f>
        <v>2564</v>
      </c>
      <c r="B541" s="4">
        <f>FacultyFTE*HoursPerWeek*WeeksPerYear*RatePerHour*(1+PracticeGrowth)^539</f>
        <v>7.5931973317724608E+16</v>
      </c>
      <c r="C541" s="4">
        <f>StudentsY1*(1+StudentGrowth)^539*CreditsPerStudent*TuitionPerCredit</f>
        <v>4.7457483323577875E+17</v>
      </c>
      <c r="D541" s="4">
        <f>SimRevY1*(1+SimGrowth)^539</f>
        <v>1.0224152169638202E+27</v>
      </c>
      <c r="E541" s="4">
        <f>FacDevRevY1*(1+FacDevGrowth)^539</f>
        <v>5.112076084819101E+26</v>
      </c>
      <c r="F541" s="4">
        <f t="shared" si="32"/>
        <v>1.533622825920305E+27</v>
      </c>
      <c r="G541" s="4">
        <f t="shared" si="33"/>
        <v>1.533622825996237E+27</v>
      </c>
      <c r="H541" s="4">
        <f>SalaryFTECount*SalaryPerFTE*(1+SalaryGrowth)^539</f>
        <v>318558484637198.56</v>
      </c>
      <c r="I541" s="4">
        <f>SimOpsY1*(1+SimOpsGrowth)^539</f>
        <v>3.1083181345116902E+22</v>
      </c>
      <c r="J541" s="4">
        <f>TrainDevY1*(1+TrainDevGrowth)^539</f>
        <v>1.5541590672558451E+22</v>
      </c>
      <c r="K541" s="4">
        <f>AdminY1*(1+AdminGrowth)^539</f>
        <v>8.7275304630713357E+17</v>
      </c>
      <c r="L541" s="4">
        <f t="shared" si="34"/>
        <v>4.6625645089280148E+22</v>
      </c>
      <c r="M541" s="4">
        <f t="shared" si="35"/>
        <v>1.5335762003511477E+27</v>
      </c>
    </row>
    <row r="542" spans="1:13" x14ac:dyDescent="0.2">
      <c r="A542" s="3">
        <f>StartYear+540</f>
        <v>2565</v>
      </c>
      <c r="B542" s="4">
        <f>FacultyFTE*HoursPerWeek*WeeksPerYear*RatePerHour*(1+PracticeGrowth)^540</f>
        <v>7.9728571983610832E+16</v>
      </c>
      <c r="C542" s="4">
        <f>StudentsY1*(1+StudentGrowth)^540*CreditsPerStudent*TuitionPerCredit</f>
        <v>4.9830357489756768E+17</v>
      </c>
      <c r="D542" s="4">
        <f>SimRevY1*(1+SimGrowth)^540</f>
        <v>1.1246567386602023E+27</v>
      </c>
      <c r="E542" s="4">
        <f>FacDevRevY1*(1+FacDevGrowth)^540</f>
        <v>5.6232836933010113E+26</v>
      </c>
      <c r="F542" s="4">
        <f t="shared" si="32"/>
        <v>1.6869851084886069E+27</v>
      </c>
      <c r="G542" s="4">
        <f t="shared" si="33"/>
        <v>1.6869851085683355E+27</v>
      </c>
      <c r="H542" s="4">
        <f>SalaryFTECount*SalaryPerFTE*(1+SalaryGrowth)^540</f>
        <v>331300824022686.62</v>
      </c>
      <c r="I542" s="4">
        <f>SimOpsY1*(1+SimOpsGrowth)^540</f>
        <v>3.3569835852726257E+22</v>
      </c>
      <c r="J542" s="4">
        <f>TrainDevY1*(1+TrainDevGrowth)^540</f>
        <v>1.6784917926363129E+22</v>
      </c>
      <c r="K542" s="4">
        <f>AdminY1*(1+AdminGrowth)^540</f>
        <v>9.2511822908556173E+17</v>
      </c>
      <c r="L542" s="4">
        <f t="shared" si="34"/>
        <v>5.0355679228619299E+22</v>
      </c>
      <c r="M542" s="4">
        <f t="shared" si="35"/>
        <v>1.686934752889107E+27</v>
      </c>
    </row>
    <row r="543" spans="1:13" x14ac:dyDescent="0.2">
      <c r="A543" s="3">
        <f>StartYear+541</f>
        <v>2566</v>
      </c>
      <c r="B543" s="4">
        <f>FacultyFTE*HoursPerWeek*WeeksPerYear*RatePerHour*(1+PracticeGrowth)^541</f>
        <v>8.3715000582791392E+16</v>
      </c>
      <c r="C543" s="4">
        <f>StudentsY1*(1+StudentGrowth)^541*CreditsPerStudent*TuitionPerCredit</f>
        <v>5.2321875364244614E+17</v>
      </c>
      <c r="D543" s="4">
        <f>SimRevY1*(1+SimGrowth)^541</f>
        <v>1.2371224125262224E+27</v>
      </c>
      <c r="E543" s="4">
        <f>FacDevRevY1*(1+FacDevGrowth)^541</f>
        <v>6.1856120626311119E+26</v>
      </c>
      <c r="F543" s="4">
        <f t="shared" si="32"/>
        <v>1.8556836193125522E+27</v>
      </c>
      <c r="G543" s="4">
        <f t="shared" si="33"/>
        <v>1.8556836193962671E+27</v>
      </c>
      <c r="H543" s="4">
        <f>SalaryFTECount*SalaryPerFTE*(1+SalaryGrowth)^541</f>
        <v>344552856983594.12</v>
      </c>
      <c r="I543" s="4">
        <f>SimOpsY1*(1+SimOpsGrowth)^541</f>
        <v>3.6255422720944359E+22</v>
      </c>
      <c r="J543" s="4">
        <f>TrainDevY1*(1+TrainDevGrowth)^541</f>
        <v>1.812771136047218E+22</v>
      </c>
      <c r="K543" s="4">
        <f>AdminY1*(1+AdminGrowth)^541</f>
        <v>9.8062532283069542E+17</v>
      </c>
      <c r="L543" s="4">
        <f t="shared" si="34"/>
        <v>5.4384115051292229E+22</v>
      </c>
      <c r="M543" s="4">
        <f t="shared" si="35"/>
        <v>1.8556292352812158E+27</v>
      </c>
    </row>
    <row r="544" spans="1:13" x14ac:dyDescent="0.2">
      <c r="A544" s="3">
        <f>StartYear+542</f>
        <v>2567</v>
      </c>
      <c r="B544" s="4">
        <f>FacultyFTE*HoursPerWeek*WeeksPerYear*RatePerHour*(1+PracticeGrowth)^542</f>
        <v>8.7900750611930912E+16</v>
      </c>
      <c r="C544" s="4">
        <f>StudentsY1*(1+StudentGrowth)^542*CreditsPerStudent*TuitionPerCredit</f>
        <v>5.4937969132456826E+17</v>
      </c>
      <c r="D544" s="4">
        <f>SimRevY1*(1+SimGrowth)^542</f>
        <v>1.3608346537788451E+27</v>
      </c>
      <c r="E544" s="4">
        <f>FacDevRevY1*(1+FacDevGrowth)^542</f>
        <v>6.8041732688942254E+26</v>
      </c>
      <c r="F544" s="4">
        <f t="shared" si="32"/>
        <v>2.0412519812176473E+27</v>
      </c>
      <c r="G544" s="4">
        <f t="shared" si="33"/>
        <v>2.041251981305548E+27</v>
      </c>
      <c r="H544" s="4">
        <f>SalaryFTECount*SalaryPerFTE*(1+SalaryGrowth)^542</f>
        <v>358334971262937.81</v>
      </c>
      <c r="I544" s="4">
        <f>SimOpsY1*(1+SimOpsGrowth)^542</f>
        <v>3.9155856538619909E+22</v>
      </c>
      <c r="J544" s="4">
        <f>TrainDevY1*(1+TrainDevGrowth)^542</f>
        <v>1.9577928269309954E+22</v>
      </c>
      <c r="K544" s="4">
        <f>AdminY1*(1+AdminGrowth)^542</f>
        <v>1.0394628422005372E+18</v>
      </c>
      <c r="L544" s="4">
        <f t="shared" si="34"/>
        <v>5.8734824629107031E+22</v>
      </c>
      <c r="M544" s="4">
        <f t="shared" si="35"/>
        <v>2.0411932464809189E+27</v>
      </c>
    </row>
    <row r="545" spans="1:13" x14ac:dyDescent="0.2">
      <c r="A545" s="3">
        <f>StartYear+543</f>
        <v>2568</v>
      </c>
      <c r="B545" s="4">
        <f>FacultyFTE*HoursPerWeek*WeeksPerYear*RatePerHour*(1+PracticeGrowth)^543</f>
        <v>9.2295788142527504E+16</v>
      </c>
      <c r="C545" s="4">
        <f>StudentsY1*(1+StudentGrowth)^543*CreditsPerStudent*TuitionPerCredit</f>
        <v>5.7684867589079693E+17</v>
      </c>
      <c r="D545" s="4">
        <f>SimRevY1*(1+SimGrowth)^543</f>
        <v>1.4969181191567294E+27</v>
      </c>
      <c r="E545" s="4">
        <f>FacDevRevY1*(1+FacDevGrowth)^543</f>
        <v>7.4845905957836469E+26</v>
      </c>
      <c r="F545" s="4">
        <f t="shared" si="32"/>
        <v>2.2453771793119425E+27</v>
      </c>
      <c r="G545" s="4">
        <f t="shared" si="33"/>
        <v>2.2453771794042383E+27</v>
      </c>
      <c r="H545" s="4">
        <f>SalaryFTECount*SalaryPerFTE*(1+SalaryGrowth)^543</f>
        <v>372668370113455.38</v>
      </c>
      <c r="I545" s="4">
        <f>SimOpsY1*(1+SimOpsGrowth)^543</f>
        <v>4.2288325061709515E+22</v>
      </c>
      <c r="J545" s="4">
        <f>TrainDevY1*(1+TrainDevGrowth)^543</f>
        <v>2.1144162530854758E+22</v>
      </c>
      <c r="K545" s="4">
        <f>AdminY1*(1+AdminGrowth)^543</f>
        <v>1.1018306127325697E+18</v>
      </c>
      <c r="L545" s="4">
        <f t="shared" si="34"/>
        <v>6.3433589795845382E+22</v>
      </c>
      <c r="M545" s="4">
        <f t="shared" si="35"/>
        <v>2.2453137458144425E+27</v>
      </c>
    </row>
    <row r="546" spans="1:13" x14ac:dyDescent="0.2">
      <c r="A546" s="3">
        <f>StartYear+544</f>
        <v>2569</v>
      </c>
      <c r="B546" s="4">
        <f>FacultyFTE*HoursPerWeek*WeeksPerYear*RatePerHour*(1+PracticeGrowth)^544</f>
        <v>9.6910577549653872E+16</v>
      </c>
      <c r="C546" s="4">
        <f>StudentsY1*(1+StudentGrowth)^544*CreditsPerStudent*TuitionPerCredit</f>
        <v>6.056911096853367E+17</v>
      </c>
      <c r="D546" s="4">
        <f>SimRevY1*(1+SimGrowth)^544</f>
        <v>1.6466099310724024E+27</v>
      </c>
      <c r="E546" s="4">
        <f>FacDevRevY1*(1+FacDevGrowth)^544</f>
        <v>8.2330496553620118E+26</v>
      </c>
      <c r="F546" s="4">
        <f t="shared" si="32"/>
        <v>2.4699148972142945E+27</v>
      </c>
      <c r="G546" s="4">
        <f t="shared" si="33"/>
        <v>2.4699148973112052E+27</v>
      </c>
      <c r="H546" s="4">
        <f>SalaryFTECount*SalaryPerFTE*(1+SalaryGrowth)^544</f>
        <v>387575104917993.62</v>
      </c>
      <c r="I546" s="4">
        <f>SimOpsY1*(1+SimOpsGrowth)^544</f>
        <v>4.5671391066646276E+22</v>
      </c>
      <c r="J546" s="4">
        <f>TrainDevY1*(1+TrainDevGrowth)^544</f>
        <v>2.2835695533323138E+22</v>
      </c>
      <c r="K546" s="4">
        <f>AdminY1*(1+AdminGrowth)^544</f>
        <v>1.1679404494965235E+18</v>
      </c>
      <c r="L546" s="4">
        <f t="shared" si="34"/>
        <v>6.8508254927994015E+22</v>
      </c>
      <c r="M546" s="4">
        <f t="shared" si="35"/>
        <v>2.4698463890562772E+27</v>
      </c>
    </row>
    <row r="547" spans="1:13" x14ac:dyDescent="0.2">
      <c r="A547" s="3">
        <f>StartYear+545</f>
        <v>2570</v>
      </c>
      <c r="B547" s="4">
        <f>FacultyFTE*HoursPerWeek*WeeksPerYear*RatePerHour*(1+PracticeGrowth)^545</f>
        <v>1.0175610642713658E+17</v>
      </c>
      <c r="C547" s="4">
        <f>StudentsY1*(1+StudentGrowth)^545*CreditsPerStudent*TuitionPerCredit</f>
        <v>6.3597566516960358E+17</v>
      </c>
      <c r="D547" s="4">
        <f>SimRevY1*(1+SimGrowth)^545</f>
        <v>1.811270924179643E+27</v>
      </c>
      <c r="E547" s="4">
        <f>FacDevRevY1*(1+FacDevGrowth)^545</f>
        <v>9.0563546208982149E+26</v>
      </c>
      <c r="F547" s="4">
        <f t="shared" si="32"/>
        <v>2.7169063869054399E+27</v>
      </c>
      <c r="G547" s="4">
        <f t="shared" si="33"/>
        <v>2.7169063870071958E+27</v>
      </c>
      <c r="H547" s="4">
        <f>SalaryFTECount*SalaryPerFTE*(1+SalaryGrowth)^545</f>
        <v>403078109114713.31</v>
      </c>
      <c r="I547" s="4">
        <f>SimOpsY1*(1+SimOpsGrowth)^545</f>
        <v>4.9325102351977978E+22</v>
      </c>
      <c r="J547" s="4">
        <f>TrainDevY1*(1+TrainDevGrowth)^545</f>
        <v>2.4662551175988989E+22</v>
      </c>
      <c r="K547" s="4">
        <f>AdminY1*(1+AdminGrowth)^545</f>
        <v>1.238016876466315E+18</v>
      </c>
      <c r="L547" s="4">
        <f t="shared" si="34"/>
        <v>7.3988891947921538E+22</v>
      </c>
      <c r="M547" s="4">
        <f t="shared" si="35"/>
        <v>2.7168323981152481E+27</v>
      </c>
    </row>
    <row r="548" spans="1:13" x14ac:dyDescent="0.2">
      <c r="A548" s="3">
        <f>StartYear+546</f>
        <v>2571</v>
      </c>
      <c r="B548" s="4">
        <f>FacultyFTE*HoursPerWeek*WeeksPerYear*RatePerHour*(1+PracticeGrowth)^546</f>
        <v>1.0684391174849339E+17</v>
      </c>
      <c r="C548" s="4">
        <f>StudentsY1*(1+StudentGrowth)^546*CreditsPerStudent*TuitionPerCredit</f>
        <v>6.6777444842808371E+17</v>
      </c>
      <c r="D548" s="4">
        <f>SimRevY1*(1+SimGrowth)^546</f>
        <v>1.9923980165976075E+27</v>
      </c>
      <c r="E548" s="4">
        <f>FacDevRevY1*(1+FacDevGrowth)^546</f>
        <v>9.9619900829880375E+26</v>
      </c>
      <c r="F548" s="4">
        <f t="shared" si="32"/>
        <v>2.9885970255641857E+27</v>
      </c>
      <c r="G548" s="4">
        <f t="shared" si="33"/>
        <v>2.9885970256710297E+27</v>
      </c>
      <c r="H548" s="4">
        <f>SalaryFTECount*SalaryPerFTE*(1+SalaryGrowth)^546</f>
        <v>419201233479301.94</v>
      </c>
      <c r="I548" s="4">
        <f>SimOpsY1*(1+SimOpsGrowth)^546</f>
        <v>5.3271110540136215E+22</v>
      </c>
      <c r="J548" s="4">
        <f>TrainDevY1*(1+TrainDevGrowth)^546</f>
        <v>2.6635555270068107E+22</v>
      </c>
      <c r="K548" s="4">
        <f>AdminY1*(1+AdminGrowth)^546</f>
        <v>1.312297889054294E+18</v>
      </c>
      <c r="L548" s="4">
        <f t="shared" si="34"/>
        <v>7.9907978527294611E+22</v>
      </c>
      <c r="M548" s="4">
        <f t="shared" si="35"/>
        <v>2.9885171176925023E+27</v>
      </c>
    </row>
    <row r="549" spans="1:13" x14ac:dyDescent="0.2">
      <c r="A549" s="3">
        <f>StartYear+547</f>
        <v>2572</v>
      </c>
      <c r="B549" s="4">
        <f>FacultyFTE*HoursPerWeek*WeeksPerYear*RatePerHour*(1+PracticeGrowth)^547</f>
        <v>1.1218610733591808E+17</v>
      </c>
      <c r="C549" s="4">
        <f>StudentsY1*(1+StudentGrowth)^547*CreditsPerStudent*TuitionPerCredit</f>
        <v>7.0116317084948787E+17</v>
      </c>
      <c r="D549" s="4">
        <f>SimRevY1*(1+SimGrowth)^547</f>
        <v>2.1916378182573685E+27</v>
      </c>
      <c r="E549" s="4">
        <f>FacDevRevY1*(1+FacDevGrowth)^547</f>
        <v>1.0958189091286843E+27</v>
      </c>
      <c r="F549" s="4">
        <f t="shared" si="32"/>
        <v>3.2874567280872161E+27</v>
      </c>
      <c r="G549" s="4">
        <f t="shared" si="33"/>
        <v>3.287456728199402E+27</v>
      </c>
      <c r="H549" s="4">
        <f>SalaryFTECount*SalaryPerFTE*(1+SalaryGrowth)^547</f>
        <v>435969282818474</v>
      </c>
      <c r="I549" s="4">
        <f>SimOpsY1*(1+SimOpsGrowth)^547</f>
        <v>5.7532799383347113E+22</v>
      </c>
      <c r="J549" s="4">
        <f>TrainDevY1*(1+TrainDevGrowth)^547</f>
        <v>2.8766399691673557E+22</v>
      </c>
      <c r="K549" s="4">
        <f>AdminY1*(1+AdminGrowth)^547</f>
        <v>1.3910357623975519E+18</v>
      </c>
      <c r="L549" s="4">
        <f t="shared" si="34"/>
        <v>8.630059054675235E+22</v>
      </c>
      <c r="M549" s="4">
        <f t="shared" si="35"/>
        <v>3.2873704276088554E+27</v>
      </c>
    </row>
    <row r="550" spans="1:13" x14ac:dyDescent="0.2">
      <c r="A550" s="3">
        <f>StartYear+548</f>
        <v>2573</v>
      </c>
      <c r="B550" s="4">
        <f>FacultyFTE*HoursPerWeek*WeeksPerYear*RatePerHour*(1+PracticeGrowth)^548</f>
        <v>1.1779541270271397E+17</v>
      </c>
      <c r="C550" s="4">
        <f>StudentsY1*(1+StudentGrowth)^548*CreditsPerStudent*TuitionPerCredit</f>
        <v>7.3622132939196237E+17</v>
      </c>
      <c r="D550" s="4">
        <f>SimRevY1*(1+SimGrowth)^548</f>
        <v>2.4108016000831052E+27</v>
      </c>
      <c r="E550" s="4">
        <f>FacDevRevY1*(1+FacDevGrowth)^548</f>
        <v>1.2054008000415526E+27</v>
      </c>
      <c r="F550" s="4">
        <f t="shared" si="32"/>
        <v>3.6162024008608793E+27</v>
      </c>
      <c r="G550" s="4">
        <f t="shared" si="33"/>
        <v>3.6162024009786749E+27</v>
      </c>
      <c r="H550" s="4">
        <f>SalaryFTECount*SalaryPerFTE*(1+SalaryGrowth)^548</f>
        <v>453408054131212.94</v>
      </c>
      <c r="I550" s="4">
        <f>SimOpsY1*(1+SimOpsGrowth)^548</f>
        <v>6.2135423334014893E+22</v>
      </c>
      <c r="J550" s="4">
        <f>TrainDevY1*(1+TrainDevGrowth)^548</f>
        <v>3.1067711667007446E+22</v>
      </c>
      <c r="K550" s="4">
        <f>AdminY1*(1+AdminGrowth)^548</f>
        <v>1.4744979081414049E+18</v>
      </c>
      <c r="L550" s="4">
        <f t="shared" si="34"/>
        <v>9.3204609952338533E+22</v>
      </c>
      <c r="M550" s="4">
        <f t="shared" si="35"/>
        <v>3.6161091963687225E+27</v>
      </c>
    </row>
    <row r="551" spans="1:13" x14ac:dyDescent="0.2">
      <c r="A551" s="3">
        <f>StartYear+549</f>
        <v>2574</v>
      </c>
      <c r="B551" s="4">
        <f>FacultyFTE*HoursPerWeek*WeeksPerYear*RatePerHour*(1+PracticeGrowth)^549</f>
        <v>1.2368518333784968E+17</v>
      </c>
      <c r="C551" s="4">
        <f>StudentsY1*(1+StudentGrowth)^549*CreditsPerStudent*TuitionPerCredit</f>
        <v>7.7303239586156058E+17</v>
      </c>
      <c r="D551" s="4">
        <f>SimRevY1*(1+SimGrowth)^549</f>
        <v>2.6518817600914155E+27</v>
      </c>
      <c r="E551" s="4">
        <f>FacDevRevY1*(1+FacDevGrowth)^549</f>
        <v>1.3259408800457078E+27</v>
      </c>
      <c r="F551" s="4">
        <f t="shared" si="32"/>
        <v>3.9778226409101558E+27</v>
      </c>
      <c r="G551" s="4">
        <f t="shared" si="33"/>
        <v>3.977822641033841E+27</v>
      </c>
      <c r="H551" s="4">
        <f>SalaryFTECount*SalaryPerFTE*(1+SalaryGrowth)^549</f>
        <v>471544376296461.56</v>
      </c>
      <c r="I551" s="4">
        <f>SimOpsY1*(1+SimOpsGrowth)^549</f>
        <v>6.7106257200736083E+22</v>
      </c>
      <c r="J551" s="4">
        <f>TrainDevY1*(1+TrainDevGrowth)^549</f>
        <v>3.3553128600368042E+22</v>
      </c>
      <c r="K551" s="4">
        <f>AdminY1*(1+AdminGrowth)^549</f>
        <v>1.5629677826298893E+18</v>
      </c>
      <c r="L551" s="4">
        <f t="shared" si="34"/>
        <v>1.0066094924043113E+23</v>
      </c>
      <c r="M551" s="4">
        <f t="shared" si="35"/>
        <v>3.9777219800846007E+27</v>
      </c>
    </row>
    <row r="552" spans="1:13" x14ac:dyDescent="0.2">
      <c r="A552" s="3">
        <f>StartYear+550</f>
        <v>2575</v>
      </c>
      <c r="B552" s="4">
        <f>FacultyFTE*HoursPerWeek*WeeksPerYear*RatePerHour*(1+PracticeGrowth)^550</f>
        <v>1.2986944250474214E+17</v>
      </c>
      <c r="C552" s="4">
        <f>StudentsY1*(1+StudentGrowth)^550*CreditsPerStudent*TuitionPerCredit</f>
        <v>8.1168401565463834E+17</v>
      </c>
      <c r="D552" s="4">
        <f>SimRevY1*(1+SimGrowth)^550</f>
        <v>2.9170699361005582E+27</v>
      </c>
      <c r="E552" s="4">
        <f>FacDevRevY1*(1+FacDevGrowth)^550</f>
        <v>1.4585349680502791E+27</v>
      </c>
      <c r="F552" s="4">
        <f t="shared" si="32"/>
        <v>4.3756049049625215E+27</v>
      </c>
      <c r="G552" s="4">
        <f t="shared" si="33"/>
        <v>4.3756049050923909E+27</v>
      </c>
      <c r="H552" s="4">
        <f>SalaryFTECount*SalaryPerFTE*(1+SalaryGrowth)^550</f>
        <v>490406151348320</v>
      </c>
      <c r="I552" s="4">
        <f>SimOpsY1*(1+SimOpsGrowth)^550</f>
        <v>7.2474757776794972E+22</v>
      </c>
      <c r="J552" s="4">
        <f>TrainDevY1*(1+TrainDevGrowth)^550</f>
        <v>3.6237378888397486E+22</v>
      </c>
      <c r="K552" s="4">
        <f>AdminY1*(1+AdminGrowth)^550</f>
        <v>1.6567458495876831E+18</v>
      </c>
      <c r="L552" s="4">
        <f t="shared" si="34"/>
        <v>1.0871379390144821E+23</v>
      </c>
      <c r="M552" s="4">
        <f t="shared" si="35"/>
        <v>4.3754961912984894E+27</v>
      </c>
    </row>
    <row r="553" spans="1:13" x14ac:dyDescent="0.2">
      <c r="A553" s="3">
        <f>StartYear+551</f>
        <v>2576</v>
      </c>
      <c r="B553" s="4">
        <f>FacultyFTE*HoursPerWeek*WeeksPerYear*RatePerHour*(1+PracticeGrowth)^551</f>
        <v>1.3636291462997928E+17</v>
      </c>
      <c r="C553" s="4">
        <f>StudentsY1*(1+StudentGrowth)^551*CreditsPerStudent*TuitionPerCredit</f>
        <v>8.5226821643737037E+17</v>
      </c>
      <c r="D553" s="4">
        <f>SimRevY1*(1+SimGrowth)^551</f>
        <v>3.2087769297106143E+27</v>
      </c>
      <c r="E553" s="4">
        <f>FacDevRevY1*(1+FacDevGrowth)^551</f>
        <v>1.6043884648553072E+27</v>
      </c>
      <c r="F553" s="4">
        <f t="shared" si="32"/>
        <v>4.8131653954181901E+27</v>
      </c>
      <c r="G553" s="4">
        <f t="shared" si="33"/>
        <v>4.8131653955545532E+27</v>
      </c>
      <c r="H553" s="4">
        <f>SalaryFTECount*SalaryPerFTE*(1+SalaryGrowth)^551</f>
        <v>510022397402252.75</v>
      </c>
      <c r="I553" s="4">
        <f>SimOpsY1*(1+SimOpsGrowth)^551</f>
        <v>7.827273839893857E+22</v>
      </c>
      <c r="J553" s="4">
        <f>TrainDevY1*(1+TrainDevGrowth)^551</f>
        <v>3.9136369199469285E+22</v>
      </c>
      <c r="K553" s="4">
        <f>AdminY1*(1+AdminGrowth)^551</f>
        <v>1.7561506005629443E+18</v>
      </c>
      <c r="L553" s="4">
        <f t="shared" si="34"/>
        <v>1.1741086425903082E+23</v>
      </c>
      <c r="M553" s="4">
        <f t="shared" si="35"/>
        <v>4.8130479846902943E+27</v>
      </c>
    </row>
    <row r="554" spans="1:13" x14ac:dyDescent="0.2">
      <c r="A554" s="3">
        <f>StartYear+552</f>
        <v>2577</v>
      </c>
      <c r="B554" s="4">
        <f>FacultyFTE*HoursPerWeek*WeeksPerYear*RatePerHour*(1+PracticeGrowth)^552</f>
        <v>1.4318106036147822E+17</v>
      </c>
      <c r="C554" s="4">
        <f>StudentsY1*(1+StudentGrowth)^552*CreditsPerStudent*TuitionPerCredit</f>
        <v>8.9488162725923891E+17</v>
      </c>
      <c r="D554" s="4">
        <f>SimRevY1*(1+SimGrowth)^552</f>
        <v>3.5296546226816749E+27</v>
      </c>
      <c r="E554" s="4">
        <f>FacDevRevY1*(1+FacDevGrowth)^552</f>
        <v>1.7648273113408375E+27</v>
      </c>
      <c r="F554" s="4">
        <f t="shared" si="32"/>
        <v>5.2944819349173937E+27</v>
      </c>
      <c r="G554" s="4">
        <f t="shared" si="33"/>
        <v>5.2944819350605743E+27</v>
      </c>
      <c r="H554" s="4">
        <f>SalaryFTECount*SalaryPerFTE*(1+SalaryGrowth)^552</f>
        <v>530423293298343</v>
      </c>
      <c r="I554" s="4">
        <f>SimOpsY1*(1+SimOpsGrowth)^552</f>
        <v>8.4534557470853675E+22</v>
      </c>
      <c r="J554" s="4">
        <f>TrainDevY1*(1+TrainDevGrowth)^552</f>
        <v>4.2267278735426837E+22</v>
      </c>
      <c r="K554" s="4">
        <f>AdminY1*(1+AdminGrowth)^552</f>
        <v>1.8615196365967206E+18</v>
      </c>
      <c r="L554" s="4">
        <f t="shared" si="34"/>
        <v>1.2680369825634041E+23</v>
      </c>
      <c r="M554" s="4">
        <f t="shared" si="35"/>
        <v>5.2943551313623183E+27</v>
      </c>
    </row>
    <row r="555" spans="1:13" x14ac:dyDescent="0.2">
      <c r="A555" s="3">
        <f>StartYear+553</f>
        <v>2578</v>
      </c>
      <c r="B555" s="4">
        <f>FacultyFTE*HoursPerWeek*WeeksPerYear*RatePerHour*(1+PracticeGrowth)^553</f>
        <v>1.5034011337955216E+17</v>
      </c>
      <c r="C555" s="4">
        <f>StudentsY1*(1+StudentGrowth)^553*CreditsPerStudent*TuitionPerCredit</f>
        <v>9.3962570862220083E+17</v>
      </c>
      <c r="D555" s="4">
        <f>SimRevY1*(1+SimGrowth)^553</f>
        <v>3.8826200849498427E+27</v>
      </c>
      <c r="E555" s="4">
        <f>FacDevRevY1*(1+FacDevGrowth)^553</f>
        <v>1.9413100424749214E+27</v>
      </c>
      <c r="F555" s="4">
        <f t="shared" si="32"/>
        <v>5.8239301283643894E+27</v>
      </c>
      <c r="G555" s="4">
        <f t="shared" si="33"/>
        <v>5.82393012851473E+27</v>
      </c>
      <c r="H555" s="4">
        <f>SalaryFTECount*SalaryPerFTE*(1+SalaryGrowth)^553</f>
        <v>551640225030276.75</v>
      </c>
      <c r="I555" s="4">
        <f>SimOpsY1*(1+SimOpsGrowth)^553</f>
        <v>9.1297322068521966E+22</v>
      </c>
      <c r="J555" s="4">
        <f>TrainDevY1*(1+TrainDevGrowth)^553</f>
        <v>4.5648661034260983E+22</v>
      </c>
      <c r="K555" s="4">
        <f>AdminY1*(1+AdminGrowth)^553</f>
        <v>1.9732108147925238E+18</v>
      </c>
      <c r="L555" s="4">
        <f t="shared" si="34"/>
        <v>1.3694795686523797E+23</v>
      </c>
      <c r="M555" s="4">
        <f t="shared" si="35"/>
        <v>5.8237931805578643E+27</v>
      </c>
    </row>
    <row r="556" spans="1:13" x14ac:dyDescent="0.2">
      <c r="A556" s="3">
        <f>StartYear+554</f>
        <v>2579</v>
      </c>
      <c r="B556" s="4">
        <f>FacultyFTE*HoursPerWeek*WeeksPerYear*RatePerHour*(1+PracticeGrowth)^554</f>
        <v>1.5785711904852976E+17</v>
      </c>
      <c r="C556" s="4">
        <f>StudentsY1*(1+StudentGrowth)^554*CreditsPerStudent*TuitionPerCredit</f>
        <v>9.866069940533111E+17</v>
      </c>
      <c r="D556" s="4">
        <f>SimRevY1*(1+SimGrowth)^554</f>
        <v>4.2708820934448272E+27</v>
      </c>
      <c r="E556" s="4">
        <f>FacDevRevY1*(1+FacDevGrowth)^554</f>
        <v>2.1354410467224136E+27</v>
      </c>
      <c r="F556" s="4">
        <f t="shared" si="32"/>
        <v>6.4063231411538482E+27</v>
      </c>
      <c r="G556" s="4">
        <f t="shared" si="33"/>
        <v>6.4063231413117051E+27</v>
      </c>
      <c r="H556" s="4">
        <f>SalaryFTECount*SalaryPerFTE*(1+SalaryGrowth)^554</f>
        <v>573705834031487.75</v>
      </c>
      <c r="I556" s="4">
        <f>SimOpsY1*(1+SimOpsGrowth)^554</f>
        <v>9.8601107834003712E+22</v>
      </c>
      <c r="J556" s="4">
        <f>TrainDevY1*(1+TrainDevGrowth)^554</f>
        <v>4.9300553917001856E+22</v>
      </c>
      <c r="K556" s="4">
        <f>AdminY1*(1+AdminGrowth)^554</f>
        <v>2.0916034636800755E+18</v>
      </c>
      <c r="L556" s="4">
        <f t="shared" si="34"/>
        <v>1.4790375392817509E+23</v>
      </c>
      <c r="M556" s="4">
        <f t="shared" si="35"/>
        <v>6.4061752375577769E+27</v>
      </c>
    </row>
    <row r="557" spans="1:13" x14ac:dyDescent="0.2">
      <c r="A557" s="3">
        <f>StartYear+555</f>
        <v>2580</v>
      </c>
      <c r="B557" s="4">
        <f>FacultyFTE*HoursPerWeek*WeeksPerYear*RatePerHour*(1+PracticeGrowth)^555</f>
        <v>1.6574997500095626E+17</v>
      </c>
      <c r="C557" s="4">
        <f>StudentsY1*(1+StudentGrowth)^555*CreditsPerStudent*TuitionPerCredit</f>
        <v>1.0359373437559767E+18</v>
      </c>
      <c r="D557" s="4">
        <f>SimRevY1*(1+SimGrowth)^555</f>
        <v>4.6979703027893118E+27</v>
      </c>
      <c r="E557" s="4">
        <f>FacDevRevY1*(1+FacDevGrowth)^555</f>
        <v>2.3489851513946559E+27</v>
      </c>
      <c r="F557" s="4">
        <f t="shared" si="32"/>
        <v>7.0469554552199047E+27</v>
      </c>
      <c r="G557" s="4">
        <f t="shared" si="33"/>
        <v>7.046955455385655E+27</v>
      </c>
      <c r="H557" s="4">
        <f>SalaryFTECount*SalaryPerFTE*(1+SalaryGrowth)^555</f>
        <v>596654067392747.38</v>
      </c>
      <c r="I557" s="4">
        <f>SimOpsY1*(1+SimOpsGrowth)^555</f>
        <v>1.0648919646072401E+23</v>
      </c>
      <c r="J557" s="4">
        <f>TrainDevY1*(1+TrainDevGrowth)^555</f>
        <v>5.3244598230362003E+22</v>
      </c>
      <c r="K557" s="4">
        <f>AdminY1*(1+AdminGrowth)^555</f>
        <v>2.2170996715008804E+18</v>
      </c>
      <c r="L557" s="4">
        <f t="shared" si="34"/>
        <v>1.5973601238741158E+23</v>
      </c>
      <c r="M557" s="4">
        <f t="shared" si="35"/>
        <v>7.0467957193732672E+27</v>
      </c>
    </row>
    <row r="558" spans="1:13" x14ac:dyDescent="0.2">
      <c r="A558" s="3">
        <f>StartYear+556</f>
        <v>2581</v>
      </c>
      <c r="B558" s="4">
        <f>FacultyFTE*HoursPerWeek*WeeksPerYear*RatePerHour*(1+PracticeGrowth)^556</f>
        <v>1.7403747375100406E+17</v>
      </c>
      <c r="C558" s="4">
        <f>StudentsY1*(1+StudentGrowth)^556*CreditsPerStudent*TuitionPerCredit</f>
        <v>1.0877342109437754E+18</v>
      </c>
      <c r="D558" s="4">
        <f>SimRevY1*(1+SimGrowth)^556</f>
        <v>5.1677673330682426E+27</v>
      </c>
      <c r="E558" s="4">
        <f>FacDevRevY1*(1+FacDevGrowth)^556</f>
        <v>2.5838836665341213E+27</v>
      </c>
      <c r="F558" s="4">
        <f t="shared" si="32"/>
        <v>7.7516510006900986E+27</v>
      </c>
      <c r="G558" s="4">
        <f t="shared" si="33"/>
        <v>7.7516510008641359E+27</v>
      </c>
      <c r="H558" s="4">
        <f>SalaryFTECount*SalaryPerFTE*(1+SalaryGrowth)^556</f>
        <v>620520230088457.25</v>
      </c>
      <c r="I558" s="4">
        <f>SimOpsY1*(1+SimOpsGrowth)^556</f>
        <v>1.1500833217758196E+23</v>
      </c>
      <c r="J558" s="4">
        <f>TrainDevY1*(1+TrainDevGrowth)^556</f>
        <v>5.7504166088790979E+22</v>
      </c>
      <c r="K558" s="4">
        <f>AdminY1*(1+AdminGrowth)^556</f>
        <v>2.3501256517909335E+18</v>
      </c>
      <c r="L558" s="4">
        <f t="shared" si="34"/>
        <v>1.7251484901254495E+23</v>
      </c>
      <c r="M558" s="4">
        <f t="shared" si="35"/>
        <v>7.7514784860151235E+27</v>
      </c>
    </row>
    <row r="559" spans="1:13" x14ac:dyDescent="0.2">
      <c r="A559" s="3">
        <f>StartYear+557</f>
        <v>2582</v>
      </c>
      <c r="B559" s="4">
        <f>FacultyFTE*HoursPerWeek*WeeksPerYear*RatePerHour*(1+PracticeGrowth)^557</f>
        <v>1.827393474385543E+17</v>
      </c>
      <c r="C559" s="4">
        <f>StudentsY1*(1+StudentGrowth)^557*CreditsPerStudent*TuitionPerCredit</f>
        <v>1.1421209214909644E+18</v>
      </c>
      <c r="D559" s="4">
        <f>SimRevY1*(1+SimGrowth)^557</f>
        <v>5.6845440663750666E+27</v>
      </c>
      <c r="E559" s="4">
        <f>FacDevRevY1*(1+FacDevGrowth)^557</f>
        <v>2.8422720331875333E+27</v>
      </c>
      <c r="F559" s="4">
        <f t="shared" si="32"/>
        <v>8.5268161007047209E+27</v>
      </c>
      <c r="G559" s="4">
        <f t="shared" si="33"/>
        <v>8.5268161008874598E+27</v>
      </c>
      <c r="H559" s="4">
        <f>SalaryFTECount*SalaryPerFTE*(1+SalaryGrowth)^557</f>
        <v>645341039291995.62</v>
      </c>
      <c r="I559" s="4">
        <f>SimOpsY1*(1+SimOpsGrowth)^557</f>
        <v>1.2420899875178852E+23</v>
      </c>
      <c r="J559" s="4">
        <f>TrainDevY1*(1+TrainDevGrowth)^557</f>
        <v>6.2104499375894258E+22</v>
      </c>
      <c r="K559" s="4">
        <f>AdminY1*(1+AdminGrowth)^557</f>
        <v>2.4911331908983895E+18</v>
      </c>
      <c r="L559" s="4">
        <f t="shared" si="34"/>
        <v>1.8631598990621469E+23</v>
      </c>
      <c r="M559" s="4">
        <f t="shared" si="35"/>
        <v>8.5266297848975539E+27</v>
      </c>
    </row>
    <row r="560" spans="1:13" x14ac:dyDescent="0.2">
      <c r="A560" s="3">
        <f>StartYear+558</f>
        <v>2583</v>
      </c>
      <c r="B560" s="4">
        <f>FacultyFTE*HoursPerWeek*WeeksPerYear*RatePerHour*(1+PracticeGrowth)^558</f>
        <v>1.9187631481048195E+17</v>
      </c>
      <c r="C560" s="4">
        <f>StudentsY1*(1+StudentGrowth)^558*CreditsPerStudent*TuitionPerCredit</f>
        <v>1.1992269675655122E+18</v>
      </c>
      <c r="D560" s="4">
        <f>SimRevY1*(1+SimGrowth)^558</f>
        <v>6.2529984730125744E+27</v>
      </c>
      <c r="E560" s="4">
        <f>FacDevRevY1*(1+FacDevGrowth)^558</f>
        <v>3.1264992365062872E+27</v>
      </c>
      <c r="F560" s="4">
        <f t="shared" si="32"/>
        <v>9.3794977107180896E+27</v>
      </c>
      <c r="G560" s="4">
        <f t="shared" si="33"/>
        <v>9.3794977109099653E+27</v>
      </c>
      <c r="H560" s="4">
        <f>SalaryFTECount*SalaryPerFTE*(1+SalaryGrowth)^558</f>
        <v>671154680863675.38</v>
      </c>
      <c r="I560" s="4">
        <f>SimOpsY1*(1+SimOpsGrowth)^558</f>
        <v>1.3414571865193161E+23</v>
      </c>
      <c r="J560" s="4">
        <f>TrainDevY1*(1+TrainDevGrowth)^558</f>
        <v>6.7072859325965804E+22</v>
      </c>
      <c r="K560" s="4">
        <f>AdminY1*(1+AdminGrowth)^558</f>
        <v>2.6406011823522929E+18</v>
      </c>
      <c r="L560" s="4">
        <f t="shared" si="34"/>
        <v>2.0122121925023445E+23</v>
      </c>
      <c r="M560" s="4">
        <f t="shared" si="35"/>
        <v>9.3792964896907155E+27</v>
      </c>
    </row>
    <row r="561" spans="1:13" x14ac:dyDescent="0.2">
      <c r="A561" s="3">
        <f>StartYear+559</f>
        <v>2584</v>
      </c>
      <c r="B561" s="4">
        <f>FacultyFTE*HoursPerWeek*WeeksPerYear*RatePerHour*(1+PracticeGrowth)^559</f>
        <v>2.0147013055100611E+17</v>
      </c>
      <c r="C561" s="4">
        <f>StudentsY1*(1+StudentGrowth)^559*CreditsPerStudent*TuitionPerCredit</f>
        <v>1.2591883159437883E+18</v>
      </c>
      <c r="D561" s="4">
        <f>SimRevY1*(1+SimGrowth)^559</f>
        <v>6.8782983203138322E+27</v>
      </c>
      <c r="E561" s="4">
        <f>FacDevRevY1*(1+FacDevGrowth)^559</f>
        <v>3.4391491601569161E+27</v>
      </c>
      <c r="F561" s="4">
        <f t="shared" si="32"/>
        <v>1.0317447481729936E+28</v>
      </c>
      <c r="G561" s="4">
        <f t="shared" si="33"/>
        <v>1.0317447481931407E+28</v>
      </c>
      <c r="H561" s="4">
        <f>SalaryFTECount*SalaryPerFTE*(1+SalaryGrowth)^559</f>
        <v>698000868098222.38</v>
      </c>
      <c r="I561" s="4">
        <f>SimOpsY1*(1+SimOpsGrowth)^559</f>
        <v>1.4487737614408615E+23</v>
      </c>
      <c r="J561" s="4">
        <f>TrainDevY1*(1+TrainDevGrowth)^559</f>
        <v>7.2438688072043076E+22</v>
      </c>
      <c r="K561" s="4">
        <f>AdminY1*(1+AdminGrowth)^559</f>
        <v>2.7990372532934313E+18</v>
      </c>
      <c r="L561" s="4">
        <f t="shared" si="34"/>
        <v>2.1731886395138339E+23</v>
      </c>
      <c r="M561" s="4">
        <f t="shared" si="35"/>
        <v>1.0317230163067454E+28</v>
      </c>
    </row>
    <row r="562" spans="1:13" x14ac:dyDescent="0.2">
      <c r="A562" s="3">
        <f>StartYear+560</f>
        <v>2585</v>
      </c>
      <c r="B562" s="4">
        <f>FacultyFTE*HoursPerWeek*WeeksPerYear*RatePerHour*(1+PracticeGrowth)^560</f>
        <v>2.1154363707855642E+17</v>
      </c>
      <c r="C562" s="4">
        <f>StudentsY1*(1+StudentGrowth)^560*CreditsPerStudent*TuitionPerCredit</f>
        <v>1.3221477317409777E+18</v>
      </c>
      <c r="D562" s="4">
        <f>SimRevY1*(1+SimGrowth)^560</f>
        <v>7.566128152345214E+27</v>
      </c>
      <c r="E562" s="4">
        <f>FacDevRevY1*(1+FacDevGrowth)^560</f>
        <v>3.783064076172607E+27</v>
      </c>
      <c r="F562" s="4">
        <f t="shared" si="32"/>
        <v>1.1349192229839968E+28</v>
      </c>
      <c r="G562" s="4">
        <f t="shared" si="33"/>
        <v>1.1349192230051512E+28</v>
      </c>
      <c r="H562" s="4">
        <f>SalaryFTECount*SalaryPerFTE*(1+SalaryGrowth)^560</f>
        <v>725920902822151.38</v>
      </c>
      <c r="I562" s="4">
        <f>SimOpsY1*(1+SimOpsGrowth)^560</f>
        <v>1.5646756623561302E+23</v>
      </c>
      <c r="J562" s="4">
        <f>TrainDevY1*(1+TrainDevGrowth)^560</f>
        <v>7.8233783117806509E+22</v>
      </c>
      <c r="K562" s="4">
        <f>AdminY1*(1+AdminGrowth)^560</f>
        <v>2.9669794884910367E+18</v>
      </c>
      <c r="L562" s="4">
        <f t="shared" si="34"/>
        <v>2.3470431705882892E+23</v>
      </c>
      <c r="M562" s="4">
        <f t="shared" si="35"/>
        <v>1.1348957525734453E+28</v>
      </c>
    </row>
    <row r="563" spans="1:13" x14ac:dyDescent="0.2">
      <c r="A563" s="3">
        <f>StartYear+561</f>
        <v>2586</v>
      </c>
      <c r="B563" s="4">
        <f>FacultyFTE*HoursPerWeek*WeeksPerYear*RatePerHour*(1+PracticeGrowth)^561</f>
        <v>2.2212081893248426E+17</v>
      </c>
      <c r="C563" s="4">
        <f>StudentsY1*(1+StudentGrowth)^561*CreditsPerStudent*TuitionPerCredit</f>
        <v>1.3882551183280266E+18</v>
      </c>
      <c r="D563" s="4">
        <f>SimRevY1*(1+SimGrowth)^561</f>
        <v>8.3227409675797369E+27</v>
      </c>
      <c r="E563" s="4">
        <f>FacDevRevY1*(1+FacDevGrowth)^561</f>
        <v>4.1613704837898684E+27</v>
      </c>
      <c r="F563" s="4">
        <f t="shared" si="32"/>
        <v>1.248411145275786E+28</v>
      </c>
      <c r="G563" s="4">
        <f t="shared" si="33"/>
        <v>1.2484111452979981E+28</v>
      </c>
      <c r="H563" s="4">
        <f>SalaryFTECount*SalaryPerFTE*(1+SalaryGrowth)^561</f>
        <v>754957738935037.5</v>
      </c>
      <c r="I563" s="4">
        <f>SimOpsY1*(1+SimOpsGrowth)^561</f>
        <v>1.689849715344621E+23</v>
      </c>
      <c r="J563" s="4">
        <f>TrainDevY1*(1+TrainDevGrowth)^561</f>
        <v>8.4492485767231051E+22</v>
      </c>
      <c r="K563" s="4">
        <f>AdminY1*(1+AdminGrowth)^561</f>
        <v>3.1449982578004987E+18</v>
      </c>
      <c r="L563" s="4">
        <f t="shared" si="34"/>
        <v>2.5348060305490869E+23</v>
      </c>
      <c r="M563" s="4">
        <f t="shared" si="35"/>
        <v>1.2483857972376927E+28</v>
      </c>
    </row>
    <row r="564" spans="1:13" x14ac:dyDescent="0.2">
      <c r="A564" s="3">
        <f>StartYear+562</f>
        <v>2587</v>
      </c>
      <c r="B564" s="4">
        <f>FacultyFTE*HoursPerWeek*WeeksPerYear*RatePerHour*(1+PracticeGrowth)^562</f>
        <v>2.3322685987910845E+17</v>
      </c>
      <c r="C564" s="4">
        <f>StudentsY1*(1+StudentGrowth)^562*CreditsPerStudent*TuitionPerCredit</f>
        <v>1.4576678742444275E+18</v>
      </c>
      <c r="D564" s="4">
        <f>SimRevY1*(1+SimGrowth)^562</f>
        <v>9.1550150643377122E+27</v>
      </c>
      <c r="E564" s="4">
        <f>FacDevRevY1*(1+FacDevGrowth)^562</f>
        <v>4.5775075321688561E+27</v>
      </c>
      <c r="F564" s="4">
        <f t="shared" si="32"/>
        <v>1.3732522597964235E+28</v>
      </c>
      <c r="G564" s="4">
        <f t="shared" si="33"/>
        <v>1.3732522598197462E+28</v>
      </c>
      <c r="H564" s="4">
        <f>SalaryFTECount*SalaryPerFTE*(1+SalaryGrowth)^562</f>
        <v>785156048492439.12</v>
      </c>
      <c r="I564" s="4">
        <f>SimOpsY1*(1+SimOpsGrowth)^562</f>
        <v>1.8250376925721906E+23</v>
      </c>
      <c r="J564" s="4">
        <f>TrainDevY1*(1+TrainDevGrowth)^562</f>
        <v>9.1251884628609528E+22</v>
      </c>
      <c r="K564" s="4">
        <f>AdminY1*(1+AdminGrowth)^562</f>
        <v>3.3336981532685286E+18</v>
      </c>
      <c r="L564" s="4">
        <f t="shared" si="34"/>
        <v>2.737589883691379E+23</v>
      </c>
      <c r="M564" s="4">
        <f t="shared" si="35"/>
        <v>1.3732248839209093E+28</v>
      </c>
    </row>
    <row r="565" spans="1:13" x14ac:dyDescent="0.2">
      <c r="A565" s="3">
        <f>StartYear+563</f>
        <v>2588</v>
      </c>
      <c r="B565" s="4">
        <f>FacultyFTE*HoursPerWeek*WeeksPerYear*RatePerHour*(1+PracticeGrowth)^563</f>
        <v>2.4488820287306387E+17</v>
      </c>
      <c r="C565" s="4">
        <f>StudentsY1*(1+StudentGrowth)^563*CreditsPerStudent*TuitionPerCredit</f>
        <v>1.5305512679566495E+18</v>
      </c>
      <c r="D565" s="4">
        <f>SimRevY1*(1+SimGrowth)^563</f>
        <v>1.0070516570771485E+28</v>
      </c>
      <c r="E565" s="4">
        <f>FacDevRevY1*(1+FacDevGrowth)^563</f>
        <v>5.0352582853857427E+27</v>
      </c>
      <c r="F565" s="4">
        <f t="shared" si="32"/>
        <v>1.5105774857687779E+28</v>
      </c>
      <c r="G565" s="4">
        <f t="shared" si="33"/>
        <v>1.5105774857932667E+28</v>
      </c>
      <c r="H565" s="4">
        <f>SalaryFTECount*SalaryPerFTE*(1+SalaryGrowth)^563</f>
        <v>816562290432136.75</v>
      </c>
      <c r="I565" s="4">
        <f>SimOpsY1*(1+SimOpsGrowth)^563</f>
        <v>1.9710407079779662E+23</v>
      </c>
      <c r="J565" s="4">
        <f>TrainDevY1*(1+TrainDevGrowth)^563</f>
        <v>9.8552035398898309E+22</v>
      </c>
      <c r="K565" s="4">
        <f>AdminY1*(1+AdminGrowth)^563</f>
        <v>3.533720042464641E+18</v>
      </c>
      <c r="L565" s="4">
        <f t="shared" si="34"/>
        <v>2.9565964073329968E+23</v>
      </c>
      <c r="M565" s="4">
        <f t="shared" si="35"/>
        <v>1.5105479198291932E+28</v>
      </c>
    </row>
    <row r="566" spans="1:13" x14ac:dyDescent="0.2">
      <c r="A566" s="3">
        <f>StartYear+564</f>
        <v>2589</v>
      </c>
      <c r="B566" s="4">
        <f>FacultyFTE*HoursPerWeek*WeeksPerYear*RatePerHour*(1+PracticeGrowth)^564</f>
        <v>2.5713261301671706E+17</v>
      </c>
      <c r="C566" s="4">
        <f>StudentsY1*(1+StudentGrowth)^564*CreditsPerStudent*TuitionPerCredit</f>
        <v>1.6070788313544817E+18</v>
      </c>
      <c r="D566" s="4">
        <f>SimRevY1*(1+SimGrowth)^564</f>
        <v>1.1077568227848633E+28</v>
      </c>
      <c r="E566" s="4">
        <f>FacDevRevY1*(1+FacDevGrowth)^564</f>
        <v>5.5387841139243167E+27</v>
      </c>
      <c r="F566" s="4">
        <f t="shared" si="32"/>
        <v>1.6616352343380028E+28</v>
      </c>
      <c r="G566" s="4">
        <f t="shared" si="33"/>
        <v>1.661635234363716E+28</v>
      </c>
      <c r="H566" s="4">
        <f>SalaryFTECount*SalaryPerFTE*(1+SalaryGrowth)^564</f>
        <v>849224782049422.12</v>
      </c>
      <c r="I566" s="4">
        <f>SimOpsY1*(1+SimOpsGrowth)^564</f>
        <v>2.1287239646162033E+23</v>
      </c>
      <c r="J566" s="4">
        <f>TrainDevY1*(1+TrainDevGrowth)^564</f>
        <v>1.0643619823081017E+23</v>
      </c>
      <c r="K566" s="4">
        <f>AdminY1*(1+AdminGrowth)^564</f>
        <v>3.7457432450125194E+18</v>
      </c>
      <c r="L566" s="4">
        <f t="shared" si="34"/>
        <v>3.1931234128490029E+23</v>
      </c>
      <c r="M566" s="4">
        <f t="shared" si="35"/>
        <v>1.6616033031295874E+28</v>
      </c>
    </row>
    <row r="567" spans="1:13" x14ac:dyDescent="0.2">
      <c r="A567" s="3">
        <f>StartYear+565</f>
        <v>2590</v>
      </c>
      <c r="B567" s="4">
        <f>FacultyFTE*HoursPerWeek*WeeksPerYear*RatePerHour*(1+PracticeGrowth)^565</f>
        <v>2.699892436675529E+17</v>
      </c>
      <c r="C567" s="4">
        <f>StudentsY1*(1+StudentGrowth)^565*CreditsPerStudent*TuitionPerCredit</f>
        <v>1.6874327729222054E+18</v>
      </c>
      <c r="D567" s="4">
        <f>SimRevY1*(1+SimGrowth)^565</f>
        <v>1.2185325050633497E+28</v>
      </c>
      <c r="E567" s="4">
        <f>FacDevRevY1*(1+FacDevGrowth)^565</f>
        <v>6.0926625253167485E+27</v>
      </c>
      <c r="F567" s="4">
        <f t="shared" si="32"/>
        <v>1.8277987577637679E+28</v>
      </c>
      <c r="G567" s="4">
        <f t="shared" si="33"/>
        <v>1.8277987577907669E+28</v>
      </c>
      <c r="H567" s="4">
        <f>SalaryFTECount*SalaryPerFTE*(1+SalaryGrowth)^565</f>
        <v>883193773331399.12</v>
      </c>
      <c r="I567" s="4">
        <f>SimOpsY1*(1+SimOpsGrowth)^565</f>
        <v>2.2990218817854996E+23</v>
      </c>
      <c r="J567" s="4">
        <f>TrainDevY1*(1+TrainDevGrowth)^565</f>
        <v>1.1495109408927498E+23</v>
      </c>
      <c r="K567" s="4">
        <f>AdminY1*(1+AdminGrowth)^565</f>
        <v>3.9704878397132713E+18</v>
      </c>
      <c r="L567" s="4">
        <f t="shared" si="34"/>
        <v>3.4485725363885845E+23</v>
      </c>
      <c r="M567" s="4">
        <f t="shared" si="35"/>
        <v>1.827764272065403E+28</v>
      </c>
    </row>
    <row r="568" spans="1:13" x14ac:dyDescent="0.2">
      <c r="A568" s="3">
        <f>StartYear+566</f>
        <v>2591</v>
      </c>
      <c r="B568" s="4">
        <f>FacultyFTE*HoursPerWeek*WeeksPerYear*RatePerHour*(1+PracticeGrowth)^566</f>
        <v>2.8348870585093053E+17</v>
      </c>
      <c r="C568" s="4">
        <f>StudentsY1*(1+StudentGrowth)^566*CreditsPerStudent*TuitionPerCredit</f>
        <v>1.7718044115683156E+18</v>
      </c>
      <c r="D568" s="4">
        <f>SimRevY1*(1+SimGrowth)^566</f>
        <v>1.3403857555696848E+28</v>
      </c>
      <c r="E568" s="4">
        <f>FacDevRevY1*(1+FacDevGrowth)^566</f>
        <v>6.7019287778484242E+27</v>
      </c>
      <c r="F568" s="4">
        <f t="shared" si="32"/>
        <v>2.0105786335317076E+28</v>
      </c>
      <c r="G568" s="4">
        <f t="shared" si="33"/>
        <v>2.0105786335600566E+28</v>
      </c>
      <c r="H568" s="4">
        <f>SalaryFTECount*SalaryPerFTE*(1+SalaryGrowth)^566</f>
        <v>918521524264655.12</v>
      </c>
      <c r="I568" s="4">
        <f>SimOpsY1*(1+SimOpsGrowth)^566</f>
        <v>2.4829436323283398E+23</v>
      </c>
      <c r="J568" s="4">
        <f>TrainDevY1*(1+TrainDevGrowth)^566</f>
        <v>1.2414718161641699E+23</v>
      </c>
      <c r="K568" s="4">
        <f>AdminY1*(1+AdminGrowth)^566</f>
        <v>4.2087171100960681E+18</v>
      </c>
      <c r="L568" s="4">
        <f t="shared" si="34"/>
        <v>3.7244575448488265E+23</v>
      </c>
      <c r="M568" s="4">
        <f t="shared" si="35"/>
        <v>2.0105413889846083E+28</v>
      </c>
    </row>
    <row r="569" spans="1:13" x14ac:dyDescent="0.2">
      <c r="A569" s="3">
        <f>StartYear+567</f>
        <v>2592</v>
      </c>
      <c r="B569" s="4">
        <f>FacultyFTE*HoursPerWeek*WeeksPerYear*RatePerHour*(1+PracticeGrowth)^567</f>
        <v>2.9766314114347712E+17</v>
      </c>
      <c r="C569" s="4">
        <f>StudentsY1*(1+StudentGrowth)^567*CreditsPerStudent*TuitionPerCredit</f>
        <v>1.860394632146732E+18</v>
      </c>
      <c r="D569" s="4">
        <f>SimRevY1*(1+SimGrowth)^567</f>
        <v>1.4744243311266536E+28</v>
      </c>
      <c r="E569" s="4">
        <f>FacDevRevY1*(1+FacDevGrowth)^567</f>
        <v>7.3721216556332679E+27</v>
      </c>
      <c r="F569" s="4">
        <f t="shared" si="32"/>
        <v>2.2116364968760201E+28</v>
      </c>
      <c r="G569" s="4">
        <f t="shared" si="33"/>
        <v>2.2116364969057865E+28</v>
      </c>
      <c r="H569" s="4">
        <f>SalaryFTECount*SalaryPerFTE*(1+SalaryGrowth)^567</f>
        <v>955262385235241.25</v>
      </c>
      <c r="I569" s="4">
        <f>SimOpsY1*(1+SimOpsGrowth)^567</f>
        <v>2.6815791229146073E+23</v>
      </c>
      <c r="J569" s="4">
        <f>TrainDevY1*(1+TrainDevGrowth)^567</f>
        <v>1.3407895614573036E+23</v>
      </c>
      <c r="K569" s="4">
        <f>AdminY1*(1+AdminGrowth)^567</f>
        <v>4.4612401367018327E+18</v>
      </c>
      <c r="L569" s="4">
        <f t="shared" si="34"/>
        <v>4.0224133063259016E+23</v>
      </c>
      <c r="M569" s="4">
        <f t="shared" si="35"/>
        <v>2.2115962727727233E+28</v>
      </c>
    </row>
    <row r="570" spans="1:13" x14ac:dyDescent="0.2">
      <c r="A570" s="3">
        <f>StartYear+568</f>
        <v>2593</v>
      </c>
      <c r="B570" s="4">
        <f>FacultyFTE*HoursPerWeek*WeeksPerYear*RatePerHour*(1+PracticeGrowth)^568</f>
        <v>3.1254629820065094E+17</v>
      </c>
      <c r="C570" s="4">
        <f>StudentsY1*(1+StudentGrowth)^568*CreditsPerStudent*TuitionPerCredit</f>
        <v>1.9534143637540682E+18</v>
      </c>
      <c r="D570" s="4">
        <f>SimRevY1*(1+SimGrowth)^568</f>
        <v>1.6218667642393186E+28</v>
      </c>
      <c r="E570" s="4">
        <f>FacDevRevY1*(1+FacDevGrowth)^568</f>
        <v>8.1093338211965931E+27</v>
      </c>
      <c r="F570" s="4">
        <f t="shared" si="32"/>
        <v>2.4328001465543194E+28</v>
      </c>
      <c r="G570" s="4">
        <f t="shared" si="33"/>
        <v>2.4328001465855741E+28</v>
      </c>
      <c r="H570" s="4">
        <f>SalaryFTECount*SalaryPerFTE*(1+SalaryGrowth)^568</f>
        <v>993472880644651</v>
      </c>
      <c r="I570" s="4">
        <f>SimOpsY1*(1+SimOpsGrowth)^568</f>
        <v>2.8961054527477759E+23</v>
      </c>
      <c r="J570" s="4">
        <f>TrainDevY1*(1+TrainDevGrowth)^568</f>
        <v>1.4480527263738879E+23</v>
      </c>
      <c r="K570" s="4">
        <f>AdminY1*(1+AdminGrowth)^568</f>
        <v>4.7289145449039411E+18</v>
      </c>
      <c r="L570" s="4">
        <f t="shared" si="34"/>
        <v>4.3442054782018421E+23</v>
      </c>
      <c r="M570" s="4">
        <f t="shared" si="35"/>
        <v>2.432756704530792E+28</v>
      </c>
    </row>
    <row r="571" spans="1:13" x14ac:dyDescent="0.2">
      <c r="A571" s="3">
        <f>StartYear+569</f>
        <v>2594</v>
      </c>
      <c r="B571" s="4">
        <f>FacultyFTE*HoursPerWeek*WeeksPerYear*RatePerHour*(1+PracticeGrowth)^569</f>
        <v>3.2817361311068352E+17</v>
      </c>
      <c r="C571" s="4">
        <f>StudentsY1*(1+StudentGrowth)^569*CreditsPerStudent*TuitionPerCredit</f>
        <v>2.051085081941772E+18</v>
      </c>
      <c r="D571" s="4">
        <f>SimRevY1*(1+SimGrowth)^569</f>
        <v>1.7840534406632508E+28</v>
      </c>
      <c r="E571" s="4">
        <f>FacDevRevY1*(1+FacDevGrowth)^569</f>
        <v>8.9202672033162539E+27</v>
      </c>
      <c r="F571" s="4">
        <f t="shared" si="32"/>
        <v>2.6760801611999849E+28</v>
      </c>
      <c r="G571" s="4">
        <f t="shared" si="33"/>
        <v>2.6760801612328023E+28</v>
      </c>
      <c r="H571" s="4">
        <f>SalaryFTECount*SalaryPerFTE*(1+SalaryGrowth)^569</f>
        <v>1033211795870437.4</v>
      </c>
      <c r="I571" s="4">
        <f>SimOpsY1*(1+SimOpsGrowth)^569</f>
        <v>3.1277938889675983E+23</v>
      </c>
      <c r="J571" s="4">
        <f>TrainDevY1*(1+TrainDevGrowth)^569</f>
        <v>1.5638969444837991E+23</v>
      </c>
      <c r="K571" s="4">
        <f>AdminY1*(1+AdminGrowth)^569</f>
        <v>5.0126494175981783E+18</v>
      </c>
      <c r="L571" s="4">
        <f t="shared" si="34"/>
        <v>4.6917409702776917E+23</v>
      </c>
      <c r="M571" s="4">
        <f t="shared" si="35"/>
        <v>2.6760332438230995E+28</v>
      </c>
    </row>
    <row r="572" spans="1:13" x14ac:dyDescent="0.2">
      <c r="A572" s="3">
        <f>StartYear+570</f>
        <v>2595</v>
      </c>
      <c r="B572" s="4">
        <f>FacultyFTE*HoursPerWeek*WeeksPerYear*RatePerHour*(1+PracticeGrowth)^570</f>
        <v>3.4458229376621766E+17</v>
      </c>
      <c r="C572" s="4">
        <f>StudentsY1*(1+StudentGrowth)^570*CreditsPerStudent*TuitionPerCredit</f>
        <v>2.1536393360388603E+18</v>
      </c>
      <c r="D572" s="4">
        <f>SimRevY1*(1+SimGrowth)^570</f>
        <v>1.9624587847295761E+28</v>
      </c>
      <c r="E572" s="4">
        <f>FacDevRevY1*(1+FacDevGrowth)^570</f>
        <v>9.8122939236478805E+27</v>
      </c>
      <c r="F572" s="4">
        <f t="shared" si="32"/>
        <v>2.9436881773097283E+28</v>
      </c>
      <c r="G572" s="4">
        <f t="shared" si="33"/>
        <v>2.9436881773441865E+28</v>
      </c>
      <c r="H572" s="4">
        <f>SalaryFTECount*SalaryPerFTE*(1+SalaryGrowth)^570</f>
        <v>1074540267705254.6</v>
      </c>
      <c r="I572" s="4">
        <f>SimOpsY1*(1+SimOpsGrowth)^570</f>
        <v>3.3780174000850057E+23</v>
      </c>
      <c r="J572" s="4">
        <f>TrainDevY1*(1+TrainDevGrowth)^570</f>
        <v>1.6890087000425029E+23</v>
      </c>
      <c r="K572" s="4">
        <f>AdminY1*(1+AdminGrowth)^570</f>
        <v>5.3134083826540687E+18</v>
      </c>
      <c r="L572" s="4">
        <f t="shared" si="34"/>
        <v>5.0670792449567382E+23</v>
      </c>
      <c r="M572" s="4">
        <f t="shared" si="35"/>
        <v>2.9436375065517369E+28</v>
      </c>
    </row>
    <row r="573" spans="1:13" x14ac:dyDescent="0.2">
      <c r="A573" s="3">
        <f>StartYear+571</f>
        <v>2596</v>
      </c>
      <c r="B573" s="4">
        <f>FacultyFTE*HoursPerWeek*WeeksPerYear*RatePerHour*(1+PracticeGrowth)^571</f>
        <v>3.6181140845452864E+17</v>
      </c>
      <c r="C573" s="4">
        <f>StudentsY1*(1+StudentGrowth)^571*CreditsPerStudent*TuitionPerCredit</f>
        <v>2.2613213028408038E+18</v>
      </c>
      <c r="D573" s="4">
        <f>SimRevY1*(1+SimGrowth)^571</f>
        <v>2.1587046632025343E+28</v>
      </c>
      <c r="E573" s="4">
        <f>FacDevRevY1*(1+FacDevGrowth)^571</f>
        <v>1.0793523316012671E+28</v>
      </c>
      <c r="F573" s="4">
        <f t="shared" si="32"/>
        <v>3.2380569950299336E+28</v>
      </c>
      <c r="G573" s="4">
        <f t="shared" si="33"/>
        <v>3.2380569950661145E+28</v>
      </c>
      <c r="H573" s="4">
        <f>SalaryFTECount*SalaryPerFTE*(1+SalaryGrowth)^571</f>
        <v>1117521878413464.9</v>
      </c>
      <c r="I573" s="4">
        <f>SimOpsY1*(1+SimOpsGrowth)^571</f>
        <v>3.6482587920918064E+23</v>
      </c>
      <c r="J573" s="4">
        <f>TrainDevY1*(1+TrainDevGrowth)^571</f>
        <v>1.8241293960459032E+23</v>
      </c>
      <c r="K573" s="4">
        <f>AdminY1*(1+AdminGrowth)^571</f>
        <v>5.632212885613314E+18</v>
      </c>
      <c r="L573" s="4">
        <f t="shared" si="34"/>
        <v>5.4724445214417847E+23</v>
      </c>
      <c r="M573" s="4">
        <f t="shared" si="35"/>
        <v>3.2380022706209001E+28</v>
      </c>
    </row>
    <row r="574" spans="1:13" x14ac:dyDescent="0.2">
      <c r="A574" s="3">
        <f>StartYear+572</f>
        <v>2597</v>
      </c>
      <c r="B574" s="4">
        <f>FacultyFTE*HoursPerWeek*WeeksPerYear*RatePerHour*(1+PracticeGrowth)^572</f>
        <v>3.7990197887725498E+17</v>
      </c>
      <c r="C574" s="4">
        <f>StudentsY1*(1+StudentGrowth)^572*CreditsPerStudent*TuitionPerCredit</f>
        <v>2.3743873679828434E+18</v>
      </c>
      <c r="D574" s="4">
        <f>SimRevY1*(1+SimGrowth)^572</f>
        <v>2.3745751295227874E+28</v>
      </c>
      <c r="E574" s="4">
        <f>FacDevRevY1*(1+FacDevGrowth)^572</f>
        <v>1.1872875647613937E+28</v>
      </c>
      <c r="F574" s="4">
        <f t="shared" si="32"/>
        <v>3.5618626945216198E+28</v>
      </c>
      <c r="G574" s="4">
        <f t="shared" si="33"/>
        <v>3.5618626945596101E+28</v>
      </c>
      <c r="H574" s="4">
        <f>SalaryFTECount*SalaryPerFTE*(1+SalaryGrowth)^572</f>
        <v>1162222753550003.8</v>
      </c>
      <c r="I574" s="4">
        <f>SimOpsY1*(1+SimOpsGrowth)^572</f>
        <v>3.9401194954591512E+23</v>
      </c>
      <c r="J574" s="4">
        <f>TrainDevY1*(1+TrainDevGrowth)^572</f>
        <v>1.9700597477295756E+23</v>
      </c>
      <c r="K574" s="4">
        <f>AdminY1*(1+AdminGrowth)^572</f>
        <v>5.9701456587501128E+18</v>
      </c>
      <c r="L574" s="4">
        <f t="shared" si="34"/>
        <v>5.9102389562675425E+23</v>
      </c>
      <c r="M574" s="4">
        <f t="shared" si="35"/>
        <v>3.5618035921700476E+28</v>
      </c>
    </row>
    <row r="575" spans="1:13" x14ac:dyDescent="0.2">
      <c r="A575" s="3">
        <f>StartYear+573</f>
        <v>2598</v>
      </c>
      <c r="B575" s="4">
        <f>FacultyFTE*HoursPerWeek*WeeksPerYear*RatePerHour*(1+PracticeGrowth)^573</f>
        <v>3.9889707782111782E+17</v>
      </c>
      <c r="C575" s="4">
        <f>StudentsY1*(1+StudentGrowth)^573*CreditsPerStudent*TuitionPerCredit</f>
        <v>2.4931067363819863E+18</v>
      </c>
      <c r="D575" s="4">
        <f>SimRevY1*(1+SimGrowth)^573</f>
        <v>2.6120326424750662E+28</v>
      </c>
      <c r="E575" s="4">
        <f>FacDevRevY1*(1+FacDevGrowth)^573</f>
        <v>1.3060163212375331E+28</v>
      </c>
      <c r="F575" s="4">
        <f t="shared" si="32"/>
        <v>3.9180489639619102E+28</v>
      </c>
      <c r="G575" s="4">
        <f t="shared" si="33"/>
        <v>3.9180489640018001E+28</v>
      </c>
      <c r="H575" s="4">
        <f>SalaryFTECount*SalaryPerFTE*(1+SalaryGrowth)^573</f>
        <v>1208711663692004</v>
      </c>
      <c r="I575" s="4">
        <f>SimOpsY1*(1+SimOpsGrowth)^573</f>
        <v>4.2553290550958832E+23</v>
      </c>
      <c r="J575" s="4">
        <f>TrainDevY1*(1+TrainDevGrowth)^573</f>
        <v>2.1276645275479416E+23</v>
      </c>
      <c r="K575" s="4">
        <f>AdminY1*(1+AdminGrowth)^573</f>
        <v>6.3283543982751212E+18</v>
      </c>
      <c r="L575" s="4">
        <f t="shared" si="34"/>
        <v>6.383056878274924E+23</v>
      </c>
      <c r="M575" s="4">
        <f t="shared" si="35"/>
        <v>3.9179851334330172E+28</v>
      </c>
    </row>
    <row r="576" spans="1:13" x14ac:dyDescent="0.2">
      <c r="A576" s="3">
        <f>StartYear+574</f>
        <v>2599</v>
      </c>
      <c r="B576" s="4">
        <f>FacultyFTE*HoursPerWeek*WeeksPerYear*RatePerHour*(1+PracticeGrowth)^574</f>
        <v>4.1884193171217357E+17</v>
      </c>
      <c r="C576" s="4">
        <f>StudentsY1*(1+StudentGrowth)^574*CreditsPerStudent*TuitionPerCredit</f>
        <v>2.6177620732010849E+18</v>
      </c>
      <c r="D576" s="4">
        <f>SimRevY1*(1+SimGrowth)^574</f>
        <v>2.8732359067225735E+28</v>
      </c>
      <c r="E576" s="4">
        <f>FacDevRevY1*(1+FacDevGrowth)^574</f>
        <v>1.4366179533612867E+28</v>
      </c>
      <c r="F576" s="4">
        <f t="shared" si="32"/>
        <v>4.3098538603456367E+28</v>
      </c>
      <c r="G576" s="4">
        <f t="shared" si="33"/>
        <v>4.3098538603875211E+28</v>
      </c>
      <c r="H576" s="4">
        <f>SalaryFTECount*SalaryPerFTE*(1+SalaryGrowth)^574</f>
        <v>1257060130239683.8</v>
      </c>
      <c r="I576" s="4">
        <f>SimOpsY1*(1+SimOpsGrowth)^574</f>
        <v>4.5957553795035549E+23</v>
      </c>
      <c r="J576" s="4">
        <f>TrainDevY1*(1+TrainDevGrowth)^574</f>
        <v>2.2978776897517774E+23</v>
      </c>
      <c r="K576" s="4">
        <f>AdminY1*(1+AdminGrowth)^574</f>
        <v>6.7080556621716285E+18</v>
      </c>
      <c r="L576" s="4">
        <f t="shared" si="34"/>
        <v>6.8937001623825567E+23</v>
      </c>
      <c r="M576" s="4">
        <f t="shared" si="35"/>
        <v>4.3097849233858975E+28</v>
      </c>
    </row>
    <row r="577" spans="1:13" x14ac:dyDescent="0.2">
      <c r="A577" s="3">
        <f>StartYear+575</f>
        <v>2600</v>
      </c>
      <c r="B577" s="4">
        <f>FacultyFTE*HoursPerWeek*WeeksPerYear*RatePerHour*(1+PracticeGrowth)^575</f>
        <v>4.3978402829778246E+17</v>
      </c>
      <c r="C577" s="4">
        <f>StudentsY1*(1+StudentGrowth)^575*CreditsPerStudent*TuitionPerCredit</f>
        <v>2.7486501768611405E+18</v>
      </c>
      <c r="D577" s="4">
        <f>SimRevY1*(1+SimGrowth)^575</f>
        <v>3.1605594973948304E+28</v>
      </c>
      <c r="E577" s="4">
        <f>FacDevRevY1*(1+FacDevGrowth)^575</f>
        <v>1.5802797486974152E+28</v>
      </c>
      <c r="F577" s="4">
        <f t="shared" si="32"/>
        <v>4.7408392463671111E+28</v>
      </c>
      <c r="G577" s="4">
        <f t="shared" si="33"/>
        <v>4.7408392464110898E+28</v>
      </c>
      <c r="H577" s="4">
        <f>SalaryFTECount*SalaryPerFTE*(1+SalaryGrowth)^575</f>
        <v>1307342535449271.2</v>
      </c>
      <c r="I577" s="4">
        <f>SimOpsY1*(1+SimOpsGrowth)^575</f>
        <v>4.96341580986384E+23</v>
      </c>
      <c r="J577" s="4">
        <f>TrainDevY1*(1+TrainDevGrowth)^575</f>
        <v>2.48170790493192E+23</v>
      </c>
      <c r="K577" s="4">
        <f>AdminY1*(1+AdminGrowth)^575</f>
        <v>7.1105390019019274E+18</v>
      </c>
      <c r="L577" s="4">
        <f t="shared" si="34"/>
        <v>7.4451948332592038E+23</v>
      </c>
      <c r="M577" s="4">
        <f t="shared" si="35"/>
        <v>4.7407647944627576E+28</v>
      </c>
    </row>
    <row r="578" spans="1:13" x14ac:dyDescent="0.2">
      <c r="A578" s="3">
        <f>StartYear+576</f>
        <v>2601</v>
      </c>
      <c r="B578" s="4">
        <f>FacultyFTE*HoursPerWeek*WeeksPerYear*RatePerHour*(1+PracticeGrowth)^576</f>
        <v>4.6177322971267149E+17</v>
      </c>
      <c r="C578" s="4">
        <f>StudentsY1*(1+StudentGrowth)^576*CreditsPerStudent*TuitionPerCredit</f>
        <v>2.8860826857041966E+18</v>
      </c>
      <c r="D578" s="4">
        <f>SimRevY1*(1+SimGrowth)^576</f>
        <v>3.4766154471343135E+28</v>
      </c>
      <c r="E578" s="4">
        <f>FacDevRevY1*(1+FacDevGrowth)^576</f>
        <v>1.7383077235671567E+28</v>
      </c>
      <c r="F578" s="4">
        <f t="shared" ref="F578:F641" si="36">C578+D578+E578</f>
        <v>5.2149231709900782E+28</v>
      </c>
      <c r="G578" s="4">
        <f t="shared" ref="G578:G641" si="37">B578+F578</f>
        <v>5.2149231710362559E+28</v>
      </c>
      <c r="H578" s="4">
        <f>SalaryFTECount*SalaryPerFTE*(1+SalaryGrowth)^576</f>
        <v>1359636236867242.2</v>
      </c>
      <c r="I578" s="4">
        <f>SimOpsY1*(1+SimOpsGrowth)^576</f>
        <v>5.3604890746529473E+23</v>
      </c>
      <c r="J578" s="4">
        <f>TrainDevY1*(1+TrainDevGrowth)^576</f>
        <v>2.6802445373264736E+23</v>
      </c>
      <c r="K578" s="4">
        <f>AdminY1*(1+AdminGrowth)^576</f>
        <v>7.537171342016041E+18</v>
      </c>
      <c r="L578" s="4">
        <f t="shared" ref="L578:L641" si="38">SUM(H578:K578)</f>
        <v>8.0408089972892046E+23</v>
      </c>
      <c r="M578" s="4">
        <f t="shared" ref="M578:M641" si="39">G578-L578</f>
        <v>5.2148427629462826E+28</v>
      </c>
    </row>
    <row r="579" spans="1:13" x14ac:dyDescent="0.2">
      <c r="A579" s="3">
        <f>StartYear+577</f>
        <v>2602</v>
      </c>
      <c r="B579" s="4">
        <f>FacultyFTE*HoursPerWeek*WeeksPerYear*RatePerHour*(1+PracticeGrowth)^577</f>
        <v>4.8486189119830509E+17</v>
      </c>
      <c r="C579" s="4">
        <f>StudentsY1*(1+StudentGrowth)^577*CreditsPerStudent*TuitionPerCredit</f>
        <v>3.0303868199894062E+18</v>
      </c>
      <c r="D579" s="4">
        <f>SimRevY1*(1+SimGrowth)^577</f>
        <v>3.8242769918477451E+28</v>
      </c>
      <c r="E579" s="4">
        <f>FacDevRevY1*(1+FacDevGrowth)^577</f>
        <v>1.9121384959238725E+28</v>
      </c>
      <c r="F579" s="4">
        <f t="shared" si="36"/>
        <v>5.7364154880746557E+28</v>
      </c>
      <c r="G579" s="4">
        <f t="shared" si="37"/>
        <v>5.7364154881231416E+28</v>
      </c>
      <c r="H579" s="4">
        <f>SalaryFTECount*SalaryPerFTE*(1+SalaryGrowth)^577</f>
        <v>1414021686341932.2</v>
      </c>
      <c r="I579" s="4">
        <f>SimOpsY1*(1+SimOpsGrowth)^577</f>
        <v>5.7893282006251833E+23</v>
      </c>
      <c r="J579" s="4">
        <f>TrainDevY1*(1+TrainDevGrowth)^577</f>
        <v>2.8946641003125917E+23</v>
      </c>
      <c r="K579" s="4">
        <f>AdminY1*(1+AdminGrowth)^577</f>
        <v>7.989401622537004E+18</v>
      </c>
      <c r="L579" s="4">
        <f t="shared" si="38"/>
        <v>8.6840722090942173E+23</v>
      </c>
      <c r="M579" s="4">
        <f t="shared" si="39"/>
        <v>5.7363286474010505E+28</v>
      </c>
    </row>
    <row r="580" spans="1:13" x14ac:dyDescent="0.2">
      <c r="A580" s="3">
        <f>StartYear+578</f>
        <v>2603</v>
      </c>
      <c r="B580" s="4">
        <f>FacultyFTE*HoursPerWeek*WeeksPerYear*RatePerHour*(1+PracticeGrowth)^578</f>
        <v>5.0910498575822035E+17</v>
      </c>
      <c r="C580" s="4">
        <f>StudentsY1*(1+StudentGrowth)^578*CreditsPerStudent*TuitionPerCredit</f>
        <v>3.1819061609888773E+18</v>
      </c>
      <c r="D580" s="4">
        <f>SimRevY1*(1+SimGrowth)^578</f>
        <v>4.2067046910325209E+28</v>
      </c>
      <c r="E580" s="4">
        <f>FacDevRevY1*(1+FacDevGrowth)^578</f>
        <v>2.1033523455162604E+28</v>
      </c>
      <c r="F580" s="4">
        <f t="shared" si="36"/>
        <v>6.3100570368669725E+28</v>
      </c>
      <c r="G580" s="4">
        <f t="shared" si="37"/>
        <v>6.3100570369178834E+28</v>
      </c>
      <c r="H580" s="4">
        <f>SalaryFTECount*SalaryPerFTE*(1+SalaryGrowth)^578</f>
        <v>1470582553795609.2</v>
      </c>
      <c r="I580" s="4">
        <f>SimOpsY1*(1+SimOpsGrowth)^578</f>
        <v>6.2524744566751987E+23</v>
      </c>
      <c r="J580" s="4">
        <f>TrainDevY1*(1+TrainDevGrowth)^578</f>
        <v>3.1262372283375994E+23</v>
      </c>
      <c r="K580" s="4">
        <f>AdminY1*(1+AdminGrowth)^578</f>
        <v>8.4687657198892237E+18</v>
      </c>
      <c r="L580" s="4">
        <f t="shared" si="38"/>
        <v>9.3787963873758241E+23</v>
      </c>
      <c r="M580" s="4">
        <f t="shared" si="39"/>
        <v>6.3099632489540093E+28</v>
      </c>
    </row>
    <row r="581" spans="1:13" x14ac:dyDescent="0.2">
      <c r="A581" s="3">
        <f>StartYear+579</f>
        <v>2604</v>
      </c>
      <c r="B581" s="4">
        <f>FacultyFTE*HoursPerWeek*WeeksPerYear*RatePerHour*(1+PracticeGrowth)^579</f>
        <v>5.3456023504613139E+17</v>
      </c>
      <c r="C581" s="4">
        <f>StudentsY1*(1+StudentGrowth)^579*CreditsPerStudent*TuitionPerCredit</f>
        <v>3.3410014690383217E+18</v>
      </c>
      <c r="D581" s="4">
        <f>SimRevY1*(1+SimGrowth)^579</f>
        <v>4.6273751601357738E+28</v>
      </c>
      <c r="E581" s="4">
        <f>FacDevRevY1*(1+FacDevGrowth)^579</f>
        <v>2.3136875800678869E+28</v>
      </c>
      <c r="F581" s="4">
        <f t="shared" si="36"/>
        <v>6.9410627405377604E+28</v>
      </c>
      <c r="G581" s="4">
        <f t="shared" si="37"/>
        <v>6.9410627405912161E+28</v>
      </c>
      <c r="H581" s="4">
        <f>SalaryFTECount*SalaryPerFTE*(1+SalaryGrowth)^579</f>
        <v>1529405855947433.8</v>
      </c>
      <c r="I581" s="4">
        <f>SimOpsY1*(1+SimOpsGrowth)^579</f>
        <v>6.7526724132092136E+23</v>
      </c>
      <c r="J581" s="4">
        <f>TrainDevY1*(1+TrainDevGrowth)^579</f>
        <v>3.3763362066046068E+23</v>
      </c>
      <c r="K581" s="4">
        <f>AdminY1*(1+AdminGrowth)^579</f>
        <v>8.9768916630825789E+18</v>
      </c>
      <c r="L581" s="4">
        <f t="shared" si="38"/>
        <v>1.0129098404024512E+24</v>
      </c>
      <c r="M581" s="4">
        <f t="shared" si="39"/>
        <v>6.9409614496071762E+28</v>
      </c>
    </row>
    <row r="582" spans="1:13" x14ac:dyDescent="0.2">
      <c r="A582" s="3">
        <f>StartYear+580</f>
        <v>2605</v>
      </c>
      <c r="B582" s="4">
        <f>FacultyFTE*HoursPerWeek*WeeksPerYear*RatePerHour*(1+PracticeGrowth)^580</f>
        <v>5.6128824679843795E+17</v>
      </c>
      <c r="C582" s="4">
        <f>StudentsY1*(1+StudentGrowth)^580*CreditsPerStudent*TuitionPerCredit</f>
        <v>3.5080515424902374E+18</v>
      </c>
      <c r="D582" s="4">
        <f>SimRevY1*(1+SimGrowth)^580</f>
        <v>5.0901126761493505E+28</v>
      </c>
      <c r="E582" s="4">
        <f>FacDevRevY1*(1+FacDevGrowth)^580</f>
        <v>2.5450563380746753E+28</v>
      </c>
      <c r="F582" s="4">
        <f t="shared" si="36"/>
        <v>7.6351690145748311E+28</v>
      </c>
      <c r="G582" s="4">
        <f t="shared" si="37"/>
        <v>7.6351690146309599E+28</v>
      </c>
      <c r="H582" s="4">
        <f>SalaryFTECount*SalaryPerFTE*(1+SalaryGrowth)^580</f>
        <v>1590582090185331.2</v>
      </c>
      <c r="I582" s="4">
        <f>SimOpsY1*(1+SimOpsGrowth)^580</f>
        <v>7.2928862062659521E+23</v>
      </c>
      <c r="J582" s="4">
        <f>TrainDevY1*(1+TrainDevGrowth)^580</f>
        <v>3.6464431031329761E+23</v>
      </c>
      <c r="K582" s="4">
        <f>AdminY1*(1+AdminGrowth)^580</f>
        <v>9.5155051628675359E+18</v>
      </c>
      <c r="L582" s="4">
        <f t="shared" si="38"/>
        <v>1.0939424480356378E+24</v>
      </c>
      <c r="M582" s="4">
        <f t="shared" si="39"/>
        <v>7.635059620386156E+28</v>
      </c>
    </row>
    <row r="583" spans="1:13" x14ac:dyDescent="0.2">
      <c r="A583" s="3">
        <f>StartYear+581</f>
        <v>2606</v>
      </c>
      <c r="B583" s="4">
        <f>FacultyFTE*HoursPerWeek*WeeksPerYear*RatePerHour*(1+PracticeGrowth)^581</f>
        <v>5.8935265913835981E+17</v>
      </c>
      <c r="C583" s="4">
        <f>StudentsY1*(1+StudentGrowth)^581*CreditsPerStudent*TuitionPerCredit</f>
        <v>3.6834541196147492E+18</v>
      </c>
      <c r="D583" s="4">
        <f>SimRevY1*(1+SimGrowth)^581</f>
        <v>5.5991239437642857E+28</v>
      </c>
      <c r="E583" s="4">
        <f>FacDevRevY1*(1+FacDevGrowth)^581</f>
        <v>2.7995619718821428E+28</v>
      </c>
      <c r="F583" s="4">
        <f t="shared" si="36"/>
        <v>8.3986859160147732E+28</v>
      </c>
      <c r="G583" s="4">
        <f t="shared" si="37"/>
        <v>8.3986859160737088E+28</v>
      </c>
      <c r="H583" s="4">
        <f>SalaryFTECount*SalaryPerFTE*(1+SalaryGrowth)^581</f>
        <v>1654205373792744.8</v>
      </c>
      <c r="I583" s="4">
        <f>SimOpsY1*(1+SimOpsGrowth)^581</f>
        <v>7.876317102767228E+23</v>
      </c>
      <c r="J583" s="4">
        <f>TrainDevY1*(1+TrainDevGrowth)^581</f>
        <v>3.938158551383614E+23</v>
      </c>
      <c r="K583" s="4">
        <f>AdminY1*(1+AdminGrowth)^581</f>
        <v>1.0086435472639588E+19</v>
      </c>
      <c r="L583" s="4">
        <f t="shared" si="38"/>
        <v>1.1814576535047623E+24</v>
      </c>
      <c r="M583" s="4">
        <f t="shared" si="39"/>
        <v>8.3985677703083592E+28</v>
      </c>
    </row>
    <row r="584" spans="1:13" x14ac:dyDescent="0.2">
      <c r="A584" s="3">
        <f>StartYear+582</f>
        <v>2607</v>
      </c>
      <c r="B584" s="4">
        <f>FacultyFTE*HoursPerWeek*WeeksPerYear*RatePerHour*(1+PracticeGrowth)^582</f>
        <v>6.1882029209527782E+17</v>
      </c>
      <c r="C584" s="4">
        <f>StudentsY1*(1+StudentGrowth)^582*CreditsPerStudent*TuitionPerCredit</f>
        <v>3.8676268255954862E+18</v>
      </c>
      <c r="D584" s="4">
        <f>SimRevY1*(1+SimGrowth)^582</f>
        <v>6.159036338140715E+28</v>
      </c>
      <c r="E584" s="4">
        <f>FacDevRevY1*(1+FacDevGrowth)^582</f>
        <v>3.0795181690703575E+28</v>
      </c>
      <c r="F584" s="4">
        <f t="shared" si="36"/>
        <v>9.2385545075978354E+28</v>
      </c>
      <c r="G584" s="4">
        <f t="shared" si="37"/>
        <v>9.2385545076597177E+28</v>
      </c>
      <c r="H584" s="4">
        <f>SalaryFTECount*SalaryPerFTE*(1+SalaryGrowth)^582</f>
        <v>1720373588744454.5</v>
      </c>
      <c r="I584" s="4">
        <f>SimOpsY1*(1+SimOpsGrowth)^582</f>
        <v>8.5064224709886069E+23</v>
      </c>
      <c r="J584" s="4">
        <f>TrainDevY1*(1+TrainDevGrowth)^582</f>
        <v>4.2532112354943035E+23</v>
      </c>
      <c r="K584" s="4">
        <f>AdminY1*(1+AdminGrowth)^582</f>
        <v>1.0691621600997962E+19</v>
      </c>
      <c r="L584" s="4">
        <f t="shared" si="38"/>
        <v>1.2759740639902656E+24</v>
      </c>
      <c r="M584" s="4">
        <f t="shared" si="39"/>
        <v>9.2384269102533185E+28</v>
      </c>
    </row>
    <row r="585" spans="1:13" x14ac:dyDescent="0.2">
      <c r="A585" s="3">
        <f>StartYear+583</f>
        <v>2608</v>
      </c>
      <c r="B585" s="4">
        <f>FacultyFTE*HoursPerWeek*WeeksPerYear*RatePerHour*(1+PracticeGrowth)^583</f>
        <v>6.4976130670004173E+17</v>
      </c>
      <c r="C585" s="4">
        <f>StudentsY1*(1+StudentGrowth)^583*CreditsPerStudent*TuitionPerCredit</f>
        <v>4.0610081668752604E+18</v>
      </c>
      <c r="D585" s="4">
        <f>SimRevY1*(1+SimGrowth)^583</f>
        <v>6.7749399719547868E+28</v>
      </c>
      <c r="E585" s="4">
        <f>FacDevRevY1*(1+FacDevGrowth)^583</f>
        <v>3.3874699859773934E+28</v>
      </c>
      <c r="F585" s="4">
        <f t="shared" si="36"/>
        <v>1.016240995833828E+29</v>
      </c>
      <c r="G585" s="4">
        <f t="shared" si="37"/>
        <v>1.0162409958403257E+29</v>
      </c>
      <c r="H585" s="4">
        <f>SalaryFTECount*SalaryPerFTE*(1+SalaryGrowth)^583</f>
        <v>1789188532294232.5</v>
      </c>
      <c r="I585" s="4">
        <f>SimOpsY1*(1+SimOpsGrowth)^583</f>
        <v>9.1869362686676962E+23</v>
      </c>
      <c r="J585" s="4">
        <f>TrainDevY1*(1+TrainDevGrowth)^583</f>
        <v>4.5934681343338481E+23</v>
      </c>
      <c r="K585" s="4">
        <f>AdminY1*(1+AdminGrowth)^583</f>
        <v>1.1333118897057843E+19</v>
      </c>
      <c r="L585" s="4">
        <f t="shared" si="38"/>
        <v>1.37805177520824E+24</v>
      </c>
      <c r="M585" s="4">
        <f t="shared" si="39"/>
        <v>1.0162272153225736E+29</v>
      </c>
    </row>
    <row r="586" spans="1:13" x14ac:dyDescent="0.2">
      <c r="A586" s="3">
        <f>StartYear+584</f>
        <v>2609</v>
      </c>
      <c r="B586" s="4">
        <f>FacultyFTE*HoursPerWeek*WeeksPerYear*RatePerHour*(1+PracticeGrowth)^584</f>
        <v>6.8224937203504384E+17</v>
      </c>
      <c r="C586" s="4">
        <f>StudentsY1*(1+StudentGrowth)^584*CreditsPerStudent*TuitionPerCredit</f>
        <v>4.2640585752190234E+18</v>
      </c>
      <c r="D586" s="4">
        <f>SimRevY1*(1+SimGrowth)^584</f>
        <v>7.4524339691502657E+28</v>
      </c>
      <c r="E586" s="4">
        <f>FacDevRevY1*(1+FacDevGrowth)^584</f>
        <v>3.7262169845751329E+28</v>
      </c>
      <c r="F586" s="4">
        <f t="shared" si="36"/>
        <v>1.1178650954151805E+29</v>
      </c>
      <c r="G586" s="4">
        <f t="shared" si="37"/>
        <v>1.1178650954220029E+29</v>
      </c>
      <c r="H586" s="4">
        <f>SalaryFTECount*SalaryPerFTE*(1+SalaryGrowth)^584</f>
        <v>1860756073586002</v>
      </c>
      <c r="I586" s="4">
        <f>SimOpsY1*(1+SimOpsGrowth)^584</f>
        <v>9.9218911701611124E+23</v>
      </c>
      <c r="J586" s="4">
        <f>TrainDevY1*(1+TrainDevGrowth)^584</f>
        <v>4.9609455850805562E+23</v>
      </c>
      <c r="K586" s="4">
        <f>AdminY1*(1+AdminGrowth)^584</f>
        <v>1.2013106030881313E+19</v>
      </c>
      <c r="L586" s="4">
        <f t="shared" si="38"/>
        <v>1.4882956904909536E+24</v>
      </c>
      <c r="M586" s="4">
        <f t="shared" si="39"/>
        <v>1.117850212465098E+29</v>
      </c>
    </row>
    <row r="587" spans="1:13" x14ac:dyDescent="0.2">
      <c r="A587" s="3">
        <f>StartYear+585</f>
        <v>2610</v>
      </c>
      <c r="B587" s="4">
        <f>FacultyFTE*HoursPerWeek*WeeksPerYear*RatePerHour*(1+PracticeGrowth)^585</f>
        <v>7.1636184063679603E+17</v>
      </c>
      <c r="C587" s="4">
        <f>StudentsY1*(1+StudentGrowth)^585*CreditsPerStudent*TuitionPerCredit</f>
        <v>4.4772615039799752E+18</v>
      </c>
      <c r="D587" s="4">
        <f>SimRevY1*(1+SimGrowth)^585</f>
        <v>8.197677366065294E+28</v>
      </c>
      <c r="E587" s="4">
        <f>FacDevRevY1*(1+FacDevGrowth)^585</f>
        <v>4.098838683032647E+28</v>
      </c>
      <c r="F587" s="4">
        <f t="shared" si="36"/>
        <v>1.2296516049545666E+29</v>
      </c>
      <c r="G587" s="4">
        <f t="shared" si="37"/>
        <v>1.2296516049617302E+29</v>
      </c>
      <c r="H587" s="4">
        <f>SalaryFTECount*SalaryPerFTE*(1+SalaryGrowth)^585</f>
        <v>1935186316529442.2</v>
      </c>
      <c r="I587" s="4">
        <f>SimOpsY1*(1+SimOpsGrowth)^585</f>
        <v>1.0715642463774004E+24</v>
      </c>
      <c r="J587" s="4">
        <f>TrainDevY1*(1+TrainDevGrowth)^585</f>
        <v>5.3578212318870021E+23</v>
      </c>
      <c r="K587" s="4">
        <f>AdminY1*(1+AdminGrowth)^585</f>
        <v>1.273389239273419E+19</v>
      </c>
      <c r="L587" s="4">
        <f t="shared" si="38"/>
        <v>1.6073591053936796E+24</v>
      </c>
      <c r="M587" s="4">
        <f t="shared" si="39"/>
        <v>1.2296355313706762E+29</v>
      </c>
    </row>
    <row r="588" spans="1:13" x14ac:dyDescent="0.2">
      <c r="A588" s="3">
        <f>StartYear+586</f>
        <v>2611</v>
      </c>
      <c r="B588" s="4">
        <f>FacultyFTE*HoursPerWeek*WeeksPerYear*RatePerHour*(1+PracticeGrowth)^586</f>
        <v>7.5217993266863578E+17</v>
      </c>
      <c r="C588" s="4">
        <f>StudentsY1*(1+StudentGrowth)^586*CreditsPerStudent*TuitionPerCredit</f>
        <v>4.7011245791789732E+18</v>
      </c>
      <c r="D588" s="4">
        <f>SimRevY1*(1+SimGrowth)^586</f>
        <v>9.0174451026718235E+28</v>
      </c>
      <c r="E588" s="4">
        <f>FacDevRevY1*(1+FacDevGrowth)^586</f>
        <v>4.5087225513359118E+28</v>
      </c>
      <c r="F588" s="4">
        <f t="shared" si="36"/>
        <v>1.3526167654477848E+29</v>
      </c>
      <c r="G588" s="4">
        <f t="shared" si="37"/>
        <v>1.3526167654553065E+29</v>
      </c>
      <c r="H588" s="4">
        <f>SalaryFTECount*SalaryPerFTE*(1+SalaryGrowth)^586</f>
        <v>2012593769190620.2</v>
      </c>
      <c r="I588" s="4">
        <f>SimOpsY1*(1+SimOpsGrowth)^586</f>
        <v>1.1572893860875923E+24</v>
      </c>
      <c r="J588" s="4">
        <f>TrainDevY1*(1+TrainDevGrowth)^586</f>
        <v>5.7864469304379615E+23</v>
      </c>
      <c r="K588" s="4">
        <f>AdminY1*(1+AdminGrowth)^586</f>
        <v>1.3497925936298242E+19</v>
      </c>
      <c r="L588" s="4">
        <f t="shared" si="38"/>
        <v>1.7359475790699185E+24</v>
      </c>
      <c r="M588" s="4">
        <f t="shared" si="39"/>
        <v>1.3525994059795159E+29</v>
      </c>
    </row>
    <row r="589" spans="1:13" x14ac:dyDescent="0.2">
      <c r="A589" s="3">
        <f>StartYear+587</f>
        <v>2612</v>
      </c>
      <c r="B589" s="4">
        <f>FacultyFTE*HoursPerWeek*WeeksPerYear*RatePerHour*(1+PracticeGrowth)^587</f>
        <v>7.8978892930206758E+17</v>
      </c>
      <c r="C589" s="4">
        <f>StudentsY1*(1+StudentGrowth)^587*CreditsPerStudent*TuitionPerCredit</f>
        <v>4.9361808081379226E+18</v>
      </c>
      <c r="D589" s="4">
        <f>SimRevY1*(1+SimGrowth)^587</f>
        <v>9.9191896129390052E+28</v>
      </c>
      <c r="E589" s="4">
        <f>FacDevRevY1*(1+FacDevGrowth)^587</f>
        <v>4.9595948064695026E+28</v>
      </c>
      <c r="F589" s="4">
        <f t="shared" si="36"/>
        <v>1.4878784419902125E+29</v>
      </c>
      <c r="G589" s="4">
        <f t="shared" si="37"/>
        <v>1.4878784419981104E+29</v>
      </c>
      <c r="H589" s="4">
        <f>SalaryFTECount*SalaryPerFTE*(1+SalaryGrowth)^587</f>
        <v>2093097519958244.5</v>
      </c>
      <c r="I589" s="4">
        <f>SimOpsY1*(1+SimOpsGrowth)^587</f>
        <v>1.2498725369745999E+24</v>
      </c>
      <c r="J589" s="4">
        <f>TrainDevY1*(1+TrainDevGrowth)^587</f>
        <v>6.2493626848729995E+23</v>
      </c>
      <c r="K589" s="4">
        <f>AdminY1*(1+AdminGrowth)^587</f>
        <v>1.430780149247614E+19</v>
      </c>
      <c r="L589" s="4">
        <f t="shared" si="38"/>
        <v>1.87482311535649E+24</v>
      </c>
      <c r="M589" s="4">
        <f t="shared" si="39"/>
        <v>1.4878596937669568E+29</v>
      </c>
    </row>
    <row r="590" spans="1:13" x14ac:dyDescent="0.2">
      <c r="A590" s="3">
        <f>StartYear+588</f>
        <v>2613</v>
      </c>
      <c r="B590" s="4">
        <f>FacultyFTE*HoursPerWeek*WeeksPerYear*RatePerHour*(1+PracticeGrowth)^588</f>
        <v>8.2927837576717082E+17</v>
      </c>
      <c r="C590" s="4">
        <f>StudentsY1*(1+StudentGrowth)^588*CreditsPerStudent*TuitionPerCredit</f>
        <v>5.1829898485448182E+18</v>
      </c>
      <c r="D590" s="4">
        <f>SimRevY1*(1+SimGrowth)^588</f>
        <v>1.0911108574232907E+29</v>
      </c>
      <c r="E590" s="4">
        <f>FacDevRevY1*(1+FacDevGrowth)^588</f>
        <v>5.4555542871164537E+28</v>
      </c>
      <c r="F590" s="4">
        <f t="shared" si="36"/>
        <v>1.636666286186766E+29</v>
      </c>
      <c r="G590" s="4">
        <f t="shared" si="37"/>
        <v>1.6366662861950589E+29</v>
      </c>
      <c r="H590" s="4">
        <f>SalaryFTECount*SalaryPerFTE*(1+SalaryGrowth)^588</f>
        <v>2176821420756574.8</v>
      </c>
      <c r="I590" s="4">
        <f>SimOpsY1*(1+SimOpsGrowth)^588</f>
        <v>1.3498623399325677E+24</v>
      </c>
      <c r="J590" s="4">
        <f>TrainDevY1*(1+TrainDevGrowth)^588</f>
        <v>6.7493116996628387E+23</v>
      </c>
      <c r="K590" s="4">
        <f>AdminY1*(1+AdminGrowth)^588</f>
        <v>1.5166269582024708E+19</v>
      </c>
      <c r="L590" s="4">
        <f t="shared" si="38"/>
        <v>2.0248086783452553E+24</v>
      </c>
      <c r="M590" s="4">
        <f t="shared" si="39"/>
        <v>1.6366460381082755E+29</v>
      </c>
    </row>
    <row r="591" spans="1:13" x14ac:dyDescent="0.2">
      <c r="A591" s="3">
        <f>StartYear+589</f>
        <v>2614</v>
      </c>
      <c r="B591" s="4">
        <f>FacultyFTE*HoursPerWeek*WeeksPerYear*RatePerHour*(1+PracticeGrowth)^589</f>
        <v>8.7074229455552973E+17</v>
      </c>
      <c r="C591" s="4">
        <f>StudentsY1*(1+StudentGrowth)^589*CreditsPerStudent*TuitionPerCredit</f>
        <v>5.4421393409720607E+18</v>
      </c>
      <c r="D591" s="4">
        <f>SimRevY1*(1+SimGrowth)^589</f>
        <v>1.2002219431656198E+29</v>
      </c>
      <c r="E591" s="4">
        <f>FacDevRevY1*(1+FacDevGrowth)^589</f>
        <v>6.0011097158280992E+28</v>
      </c>
      <c r="F591" s="4">
        <f t="shared" si="36"/>
        <v>1.8003329148028512E+29</v>
      </c>
      <c r="G591" s="4">
        <f t="shared" si="37"/>
        <v>1.8003329148115586E+29</v>
      </c>
      <c r="H591" s="4">
        <f>SalaryFTECount*SalaryPerFTE*(1+SalaryGrowth)^589</f>
        <v>2263894277586838</v>
      </c>
      <c r="I591" s="4">
        <f>SimOpsY1*(1+SimOpsGrowth)^589</f>
        <v>1.457851327127173E+24</v>
      </c>
      <c r="J591" s="4">
        <f>TrainDevY1*(1+TrainDevGrowth)^589</f>
        <v>7.2892566356358652E+23</v>
      </c>
      <c r="K591" s="4">
        <f>AdminY1*(1+AdminGrowth)^589</f>
        <v>1.6076245756946192E+19</v>
      </c>
      <c r="L591" s="4">
        <f t="shared" si="38"/>
        <v>2.1867930692004107E+24</v>
      </c>
      <c r="M591" s="4">
        <f t="shared" si="39"/>
        <v>1.8003110468808667E+29</v>
      </c>
    </row>
    <row r="592" spans="1:13" x14ac:dyDescent="0.2">
      <c r="A592" s="3">
        <f>StartYear+590</f>
        <v>2615</v>
      </c>
      <c r="B592" s="4">
        <f>FacultyFTE*HoursPerWeek*WeeksPerYear*RatePerHour*(1+PracticeGrowth)^590</f>
        <v>9.1427940928330586E+17</v>
      </c>
      <c r="C592" s="4">
        <f>StudentsY1*(1+StudentGrowth)^590*CreditsPerStudent*TuitionPerCredit</f>
        <v>5.7142463080206612E+18</v>
      </c>
      <c r="D592" s="4">
        <f>SimRevY1*(1+SimGrowth)^590</f>
        <v>1.3202441374821819E+29</v>
      </c>
      <c r="E592" s="4">
        <f>FacDevRevY1*(1+FacDevGrowth)^590</f>
        <v>6.6012206874109096E+28</v>
      </c>
      <c r="F592" s="4">
        <f t="shared" si="36"/>
        <v>1.9803662062804154E+29</v>
      </c>
      <c r="G592" s="4">
        <f t="shared" si="37"/>
        <v>1.980366206289558E+29</v>
      </c>
      <c r="H592" s="4">
        <f>SalaryFTECount*SalaryPerFTE*(1+SalaryGrowth)^590</f>
        <v>2354450048690311.5</v>
      </c>
      <c r="I592" s="4">
        <f>SimOpsY1*(1+SimOpsGrowth)^590</f>
        <v>1.5744794332973472E+24</v>
      </c>
      <c r="J592" s="4">
        <f>TrainDevY1*(1+TrainDevGrowth)^590</f>
        <v>7.8723971664867362E+23</v>
      </c>
      <c r="K592" s="4">
        <f>AdminY1*(1+AdminGrowth)^590</f>
        <v>1.7040820502362962E+19</v>
      </c>
      <c r="L592" s="4">
        <f t="shared" si="38"/>
        <v>2.3617361931209732E+24</v>
      </c>
      <c r="M592" s="4">
        <f t="shared" si="39"/>
        <v>1.9803425889276269E+29</v>
      </c>
    </row>
    <row r="593" spans="1:13" x14ac:dyDescent="0.2">
      <c r="A593" s="3">
        <f>StartYear+591</f>
        <v>2616</v>
      </c>
      <c r="B593" s="4">
        <f>FacultyFTE*HoursPerWeek*WeeksPerYear*RatePerHour*(1+PracticeGrowth)^591</f>
        <v>9.5999337974747149E+17</v>
      </c>
      <c r="C593" s="4">
        <f>StudentsY1*(1+StudentGrowth)^591*CreditsPerStudent*TuitionPerCredit</f>
        <v>5.999958623421697E+18</v>
      </c>
      <c r="D593" s="4">
        <f>SimRevY1*(1+SimGrowth)^591</f>
        <v>1.4522685512304002E+29</v>
      </c>
      <c r="E593" s="4">
        <f>FacDevRevY1*(1+FacDevGrowth)^591</f>
        <v>7.2613427561520009E+28</v>
      </c>
      <c r="F593" s="4">
        <f t="shared" si="36"/>
        <v>2.1784028269056E+29</v>
      </c>
      <c r="G593" s="4">
        <f t="shared" si="37"/>
        <v>2.1784028269152E+29</v>
      </c>
      <c r="H593" s="4">
        <f>SalaryFTECount*SalaryPerFTE*(1+SalaryGrowth)^591</f>
        <v>2448628050637924</v>
      </c>
      <c r="I593" s="4">
        <f>SimOpsY1*(1+SimOpsGrowth)^591</f>
        <v>1.7004377879611354E+24</v>
      </c>
      <c r="J593" s="4">
        <f>TrainDevY1*(1+TrainDevGrowth)^591</f>
        <v>8.502188939805677E+23</v>
      </c>
      <c r="K593" s="4">
        <f>AdminY1*(1+AdminGrowth)^591</f>
        <v>1.8063269732504748E+19</v>
      </c>
      <c r="L593" s="4">
        <f t="shared" si="38"/>
        <v>2.5506747476600637E+24</v>
      </c>
      <c r="M593" s="4">
        <f t="shared" si="39"/>
        <v>2.1783773201677236E+29</v>
      </c>
    </row>
    <row r="594" spans="1:13" x14ac:dyDescent="0.2">
      <c r="A594" s="3">
        <f>StartYear+592</f>
        <v>2617</v>
      </c>
      <c r="B594" s="4">
        <f>FacultyFTE*HoursPerWeek*WeeksPerYear*RatePerHour*(1+PracticeGrowth)^592</f>
        <v>1.0079930487348451E+18</v>
      </c>
      <c r="C594" s="4">
        <f>StudentsY1*(1+StudentGrowth)^592*CreditsPerStudent*TuitionPerCredit</f>
        <v>6.2999565545927803E+18</v>
      </c>
      <c r="D594" s="4">
        <f>SimRevY1*(1+SimGrowth)^592</f>
        <v>1.5974954063534401E+29</v>
      </c>
      <c r="E594" s="4">
        <f>FacDevRevY1*(1+FacDevGrowth)^592</f>
        <v>7.9874770317672004E+28</v>
      </c>
      <c r="F594" s="4">
        <f t="shared" si="36"/>
        <v>2.39624310959316E+29</v>
      </c>
      <c r="G594" s="4">
        <f t="shared" si="37"/>
        <v>2.39624310960324E+29</v>
      </c>
      <c r="H594" s="4">
        <f>SalaryFTECount*SalaryPerFTE*(1+SalaryGrowth)^592</f>
        <v>2546573172663441.5</v>
      </c>
      <c r="I594" s="4">
        <f>SimOpsY1*(1+SimOpsGrowth)^592</f>
        <v>1.8364728109980258E+24</v>
      </c>
      <c r="J594" s="4">
        <f>TrainDevY1*(1+TrainDevGrowth)^592</f>
        <v>9.1823640549901292E+23</v>
      </c>
      <c r="K594" s="4">
        <f>AdminY1*(1+AdminGrowth)^592</f>
        <v>1.9147065916455027E+19</v>
      </c>
      <c r="L594" s="4">
        <f t="shared" si="38"/>
        <v>2.7547283661095284E+24</v>
      </c>
      <c r="M594" s="4">
        <f t="shared" si="39"/>
        <v>2.396215562319579E+29</v>
      </c>
    </row>
    <row r="595" spans="1:13" x14ac:dyDescent="0.2">
      <c r="A595" s="3">
        <f>StartYear+593</f>
        <v>2618</v>
      </c>
      <c r="B595" s="4">
        <f>FacultyFTE*HoursPerWeek*WeeksPerYear*RatePerHour*(1+PracticeGrowth)^593</f>
        <v>1.0583927011715873E+18</v>
      </c>
      <c r="C595" s="4">
        <f>StudentsY1*(1+StudentGrowth)^593*CreditsPerStudent*TuitionPerCredit</f>
        <v>6.6149543823224207E+18</v>
      </c>
      <c r="D595" s="4">
        <f>SimRevY1*(1+SimGrowth)^593</f>
        <v>1.7572449469887843E+29</v>
      </c>
      <c r="E595" s="4">
        <f>FacDevRevY1*(1+FacDevGrowth)^593</f>
        <v>8.7862247349439213E+28</v>
      </c>
      <c r="F595" s="4">
        <f t="shared" si="36"/>
        <v>2.6358674205493258E+29</v>
      </c>
      <c r="G595" s="4">
        <f t="shared" si="37"/>
        <v>2.6358674205599096E+29</v>
      </c>
      <c r="H595" s="4">
        <f>SalaryFTECount*SalaryPerFTE*(1+SalaryGrowth)^593</f>
        <v>2648436099569978.5</v>
      </c>
      <c r="I595" s="4">
        <f>SimOpsY1*(1+SimOpsGrowth)^593</f>
        <v>1.9833906358778682E+24</v>
      </c>
      <c r="J595" s="4">
        <f>TrainDevY1*(1+TrainDevGrowth)^593</f>
        <v>9.9169531793893408E+23</v>
      </c>
      <c r="K595" s="4">
        <f>AdminY1*(1+AdminGrowth)^593</f>
        <v>2.0295889871442334E+19</v>
      </c>
      <c r="L595" s="4">
        <f t="shared" si="38"/>
        <v>2.9751062523551094E+24</v>
      </c>
      <c r="M595" s="4">
        <f t="shared" si="39"/>
        <v>2.6358376694973861E+29</v>
      </c>
    </row>
    <row r="596" spans="1:13" x14ac:dyDescent="0.2">
      <c r="A596" s="3">
        <f>StartYear+594</f>
        <v>2619</v>
      </c>
      <c r="B596" s="4">
        <f>FacultyFTE*HoursPerWeek*WeeksPerYear*RatePerHour*(1+PracticeGrowth)^594</f>
        <v>1.1113123362301668E+18</v>
      </c>
      <c r="C596" s="4">
        <f>StudentsY1*(1+StudentGrowth)^594*CreditsPerStudent*TuitionPerCredit</f>
        <v>6.9457021014385428E+18</v>
      </c>
      <c r="D596" s="4">
        <f>SimRevY1*(1+SimGrowth)^594</f>
        <v>1.932969441687663E+29</v>
      </c>
      <c r="E596" s="4">
        <f>FacDevRevY1*(1+FacDevGrowth)^594</f>
        <v>9.6648472084383149E+28</v>
      </c>
      <c r="F596" s="4">
        <f t="shared" si="36"/>
        <v>2.8994541626009516E+29</v>
      </c>
      <c r="G596" s="4">
        <f t="shared" si="37"/>
        <v>2.8994541626120646E+29</v>
      </c>
      <c r="H596" s="4">
        <f>SalaryFTECount*SalaryPerFTE*(1+SalaryGrowth)^594</f>
        <v>2754373543552778</v>
      </c>
      <c r="I596" s="4">
        <f>SimOpsY1*(1+SimOpsGrowth)^594</f>
        <v>2.1420618867480975E+24</v>
      </c>
      <c r="J596" s="4">
        <f>TrainDevY1*(1+TrainDevGrowth)^594</f>
        <v>1.0710309433740488E+24</v>
      </c>
      <c r="K596" s="4">
        <f>AdminY1*(1+AdminGrowth)^594</f>
        <v>2.1513643263728869E+19</v>
      </c>
      <c r="L596" s="4">
        <f t="shared" si="38"/>
        <v>3.2131143465197834E+24</v>
      </c>
      <c r="M596" s="4">
        <f t="shared" si="39"/>
        <v>2.8994220314685995E+29</v>
      </c>
    </row>
    <row r="597" spans="1:13" x14ac:dyDescent="0.2">
      <c r="A597" s="3">
        <f>StartYear+595</f>
        <v>2620</v>
      </c>
      <c r="B597" s="4">
        <f>FacultyFTE*HoursPerWeek*WeeksPerYear*RatePerHour*(1+PracticeGrowth)^595</f>
        <v>1.166877953041675E+18</v>
      </c>
      <c r="C597" s="4">
        <f>StudentsY1*(1+StudentGrowth)^595*CreditsPerStudent*TuitionPerCredit</f>
        <v>7.2929872065104701E+18</v>
      </c>
      <c r="D597" s="4">
        <f>SimRevY1*(1+SimGrowth)^595</f>
        <v>2.1262663858564299E+29</v>
      </c>
      <c r="E597" s="4">
        <f>FacDevRevY1*(1+FacDevGrowth)^595</f>
        <v>1.063133192928215E+29</v>
      </c>
      <c r="F597" s="4">
        <f t="shared" si="36"/>
        <v>3.1893995788575747E+29</v>
      </c>
      <c r="G597" s="4">
        <f t="shared" si="37"/>
        <v>3.1893995788692432E+29</v>
      </c>
      <c r="H597" s="4">
        <f>SalaryFTECount*SalaryPerFTE*(1+SalaryGrowth)^595</f>
        <v>2864548485294889</v>
      </c>
      <c r="I597" s="4">
        <f>SimOpsY1*(1+SimOpsGrowth)^595</f>
        <v>2.3134268376879459E+24</v>
      </c>
      <c r="J597" s="4">
        <f>TrainDevY1*(1+TrainDevGrowth)^595</f>
        <v>1.1567134188439729E+24</v>
      </c>
      <c r="K597" s="4">
        <f>AdminY1*(1+AdminGrowth)^595</f>
        <v>2.2804461859552604E+19</v>
      </c>
      <c r="L597" s="4">
        <f t="shared" si="38"/>
        <v>3.4701630638583272E+24</v>
      </c>
      <c r="M597" s="4">
        <f t="shared" si="39"/>
        <v>3.1893648772386043E+29</v>
      </c>
    </row>
    <row r="598" spans="1:13" x14ac:dyDescent="0.2">
      <c r="A598" s="3">
        <f>StartYear+596</f>
        <v>2621</v>
      </c>
      <c r="B598" s="4">
        <f>FacultyFTE*HoursPerWeek*WeeksPerYear*RatePerHour*(1+PracticeGrowth)^596</f>
        <v>1.2252218506937587E+18</v>
      </c>
      <c r="C598" s="4">
        <f>StudentsY1*(1+StudentGrowth)^596*CreditsPerStudent*TuitionPerCredit</f>
        <v>7.6576365668359916E+18</v>
      </c>
      <c r="D598" s="4">
        <f>SimRevY1*(1+SimGrowth)^596</f>
        <v>2.3388930244420724E+29</v>
      </c>
      <c r="E598" s="4">
        <f>FacDevRevY1*(1+FacDevGrowth)^596</f>
        <v>1.1694465122210362E+29</v>
      </c>
      <c r="F598" s="4">
        <f t="shared" si="36"/>
        <v>3.5083395367396846E+29</v>
      </c>
      <c r="G598" s="4">
        <f t="shared" si="37"/>
        <v>3.5083395367519365E+29</v>
      </c>
      <c r="H598" s="4">
        <f>SalaryFTECount*SalaryPerFTE*(1+SalaryGrowth)^596</f>
        <v>2979130424706685.5</v>
      </c>
      <c r="I598" s="4">
        <f>SimOpsY1*(1+SimOpsGrowth)^596</f>
        <v>2.4985009847029815E+24</v>
      </c>
      <c r="J598" s="4">
        <f>TrainDevY1*(1+TrainDevGrowth)^596</f>
        <v>1.2492504923514907E+24</v>
      </c>
      <c r="K598" s="4">
        <f>AdminY1*(1+AdminGrowth)^596</f>
        <v>2.417272957112576E+19</v>
      </c>
      <c r="L598" s="4">
        <f t="shared" si="38"/>
        <v>3.7477756527631737E+24</v>
      </c>
      <c r="M598" s="4">
        <f t="shared" si="39"/>
        <v>3.5083020589954086E+29</v>
      </c>
    </row>
    <row r="599" spans="1:13" x14ac:dyDescent="0.2">
      <c r="A599" s="3">
        <f>StartYear+597</f>
        <v>2622</v>
      </c>
      <c r="B599" s="4">
        <f>FacultyFTE*HoursPerWeek*WeeksPerYear*RatePerHour*(1+PracticeGrowth)^597</f>
        <v>1.2864829432284467E+18</v>
      </c>
      <c r="C599" s="4">
        <f>StudentsY1*(1+StudentGrowth)^597*CreditsPerStudent*TuitionPerCredit</f>
        <v>8.0405183951777915E+18</v>
      </c>
      <c r="D599" s="4">
        <f>SimRevY1*(1+SimGrowth)^597</f>
        <v>2.57278232688628E+29</v>
      </c>
      <c r="E599" s="4">
        <f>FacDevRevY1*(1+FacDevGrowth)^597</f>
        <v>1.28639116344314E+29</v>
      </c>
      <c r="F599" s="4">
        <f t="shared" si="36"/>
        <v>3.8591734904098253E+29</v>
      </c>
      <c r="G599" s="4">
        <f t="shared" si="37"/>
        <v>3.8591734904226901E+29</v>
      </c>
      <c r="H599" s="4">
        <f>SalaryFTECount*SalaryPerFTE*(1+SalaryGrowth)^597</f>
        <v>3098295641694953</v>
      </c>
      <c r="I599" s="4">
        <f>SimOpsY1*(1+SimOpsGrowth)^597</f>
        <v>2.6983810634792199E+24</v>
      </c>
      <c r="J599" s="4">
        <f>TrainDevY1*(1+TrainDevGrowth)^597</f>
        <v>1.3491905317396099E+24</v>
      </c>
      <c r="K599" s="4">
        <f>AdminY1*(1+AdminGrowth)^597</f>
        <v>2.5623093345393312E+19</v>
      </c>
      <c r="L599" s="4">
        <f t="shared" si="38"/>
        <v>4.0475972214104706E+24</v>
      </c>
      <c r="M599" s="4">
        <f t="shared" si="39"/>
        <v>3.8591330144504761E+29</v>
      </c>
    </row>
    <row r="600" spans="1:13" x14ac:dyDescent="0.2">
      <c r="A600" s="3">
        <f>StartYear+598</f>
        <v>2623</v>
      </c>
      <c r="B600" s="4">
        <f>FacultyFTE*HoursPerWeek*WeeksPerYear*RatePerHour*(1+PracticeGrowth)^598</f>
        <v>1.3508070903898691E+18</v>
      </c>
      <c r="C600" s="4">
        <f>StudentsY1*(1+StudentGrowth)^598*CreditsPerStudent*TuitionPerCredit</f>
        <v>8.4425443149366815E+18</v>
      </c>
      <c r="D600" s="4">
        <f>SimRevY1*(1+SimGrowth)^598</f>
        <v>2.8300605595749085E+29</v>
      </c>
      <c r="E600" s="4">
        <f>FacDevRevY1*(1+FacDevGrowth)^598</f>
        <v>1.4150302797874543E+29</v>
      </c>
      <c r="F600" s="4">
        <f t="shared" si="36"/>
        <v>4.245090839446788E+29</v>
      </c>
      <c r="G600" s="4">
        <f t="shared" si="37"/>
        <v>4.245090839460296E+29</v>
      </c>
      <c r="H600" s="4">
        <f>SalaryFTECount*SalaryPerFTE*(1+SalaryGrowth)^598</f>
        <v>3222227467362751.5</v>
      </c>
      <c r="I600" s="4">
        <f>SimOpsY1*(1+SimOpsGrowth)^598</f>
        <v>2.9142515485575573E+24</v>
      </c>
      <c r="J600" s="4">
        <f>TrainDevY1*(1+TrainDevGrowth)^598</f>
        <v>1.4571257742787787E+24</v>
      </c>
      <c r="K600" s="4">
        <f>AdminY1*(1+AdminGrowth)^598</f>
        <v>2.7160478946116911E+19</v>
      </c>
      <c r="L600" s="4">
        <f t="shared" si="38"/>
        <v>4.3714044865375092E+24</v>
      </c>
      <c r="M600" s="4">
        <f t="shared" si="39"/>
        <v>4.2450471254154303E+29</v>
      </c>
    </row>
    <row r="601" spans="1:13" x14ac:dyDescent="0.2">
      <c r="A601" s="3">
        <f>StartYear+599</f>
        <v>2624</v>
      </c>
      <c r="B601" s="4">
        <f>FacultyFTE*HoursPerWeek*WeeksPerYear*RatePerHour*(1+PracticeGrowth)^599</f>
        <v>1.4183474449093627E+18</v>
      </c>
      <c r="C601" s="4">
        <f>StudentsY1*(1+StudentGrowth)^599*CreditsPerStudent*TuitionPerCredit</f>
        <v>8.864671530683518E+18</v>
      </c>
      <c r="D601" s="4">
        <f>SimRevY1*(1+SimGrowth)^599</f>
        <v>3.1130666155323997E+29</v>
      </c>
      <c r="E601" s="4">
        <f>FacDevRevY1*(1+FacDevGrowth)^599</f>
        <v>1.5565333077661998E+29</v>
      </c>
      <c r="F601" s="4">
        <f t="shared" si="36"/>
        <v>4.669599923387246E+29</v>
      </c>
      <c r="G601" s="4">
        <f t="shared" si="37"/>
        <v>4.6695999234014295E+29</v>
      </c>
      <c r="H601" s="4">
        <f>SalaryFTECount*SalaryPerFTE*(1+SalaryGrowth)^599</f>
        <v>3351116566057261</v>
      </c>
      <c r="I601" s="4">
        <f>SimOpsY1*(1+SimOpsGrowth)^599</f>
        <v>3.1473916724421629E+24</v>
      </c>
      <c r="J601" s="4">
        <f>TrainDevY1*(1+TrainDevGrowth)^599</f>
        <v>1.5736958362210815E+24</v>
      </c>
      <c r="K601" s="4">
        <f>AdminY1*(1+AdminGrowth)^599</f>
        <v>2.8790107682883928E+19</v>
      </c>
      <c r="L601" s="4">
        <f t="shared" si="38"/>
        <v>4.7211163021220436E+24</v>
      </c>
      <c r="M601" s="4">
        <f t="shared" si="39"/>
        <v>4.6695527122384083E+29</v>
      </c>
    </row>
    <row r="602" spans="1:13" x14ac:dyDescent="0.2">
      <c r="A602" s="3">
        <f>StartYear+600</f>
        <v>2625</v>
      </c>
      <c r="B602" s="4">
        <f>FacultyFTE*HoursPerWeek*WeeksPerYear*RatePerHour*(1+PracticeGrowth)^600</f>
        <v>1.4892648171548303E+18</v>
      </c>
      <c r="C602" s="4">
        <f>StudentsY1*(1+StudentGrowth)^600*CreditsPerStudent*TuitionPerCredit</f>
        <v>9.3079051072176906E+18</v>
      </c>
      <c r="D602" s="4">
        <f>SimRevY1*(1+SimGrowth)^600</f>
        <v>3.424373277085639E+29</v>
      </c>
      <c r="E602" s="4">
        <f>FacDevRevY1*(1+FacDevGrowth)^600</f>
        <v>1.7121866385428195E+29</v>
      </c>
      <c r="F602" s="4">
        <f t="shared" si="36"/>
        <v>5.1365599157215376E+29</v>
      </c>
      <c r="G602" s="4">
        <f t="shared" si="37"/>
        <v>5.1365599157364305E+29</v>
      </c>
      <c r="H602" s="4">
        <f>SalaryFTECount*SalaryPerFTE*(1+SalaryGrowth)^600</f>
        <v>3485161228699551.5</v>
      </c>
      <c r="I602" s="4">
        <f>SimOpsY1*(1+SimOpsGrowth)^600</f>
        <v>3.3991830062375358E+24</v>
      </c>
      <c r="J602" s="4">
        <f>TrainDevY1*(1+TrainDevGrowth)^600</f>
        <v>1.6995915031187679E+24</v>
      </c>
      <c r="K602" s="4">
        <f>AdminY1*(1+AdminGrowth)^600</f>
        <v>3.0517514143856964E+19</v>
      </c>
      <c r="L602" s="4">
        <f t="shared" si="38"/>
        <v>5.0988050303556091E+24</v>
      </c>
      <c r="M602" s="4">
        <f t="shared" si="39"/>
        <v>5.1365089276861266E+29</v>
      </c>
    </row>
    <row r="603" spans="1:13" x14ac:dyDescent="0.2">
      <c r="A603" s="3">
        <f>StartYear+601</f>
        <v>2626</v>
      </c>
      <c r="B603" s="4">
        <f>FacultyFTE*HoursPerWeek*WeeksPerYear*RatePerHour*(1+PracticeGrowth)^601</f>
        <v>1.5637280580125722E+18</v>
      </c>
      <c r="C603" s="4">
        <f>StudentsY1*(1+StudentGrowth)^601*CreditsPerStudent*TuitionPerCredit</f>
        <v>9.7733003625785754E+18</v>
      </c>
      <c r="D603" s="4">
        <f>SimRevY1*(1+SimGrowth)^601</f>
        <v>3.7668106047942036E+29</v>
      </c>
      <c r="E603" s="4">
        <f>FacDevRevY1*(1+FacDevGrowth)^601</f>
        <v>1.8834053023971018E+29</v>
      </c>
      <c r="F603" s="4">
        <f t="shared" si="36"/>
        <v>5.6502159072890385E+29</v>
      </c>
      <c r="G603" s="4">
        <f t="shared" si="37"/>
        <v>5.6502159073046758E+29</v>
      </c>
      <c r="H603" s="4">
        <f>SalaryFTECount*SalaryPerFTE*(1+SalaryGrowth)^601</f>
        <v>3624567677847534.5</v>
      </c>
      <c r="I603" s="4">
        <f>SimOpsY1*(1+SimOpsGrowth)^601</f>
        <v>3.6711176467365393E+24</v>
      </c>
      <c r="J603" s="4">
        <f>TrainDevY1*(1+TrainDevGrowth)^601</f>
        <v>1.8355588233682696E+24</v>
      </c>
      <c r="K603" s="4">
        <f>AdminY1*(1+AdminGrowth)^601</f>
        <v>3.2348564992488378E+19</v>
      </c>
      <c r="L603" s="4">
        <f t="shared" si="38"/>
        <v>5.5067088222943687E+24</v>
      </c>
      <c r="M603" s="4">
        <f t="shared" si="39"/>
        <v>5.6501608402164526E+29</v>
      </c>
    </row>
    <row r="604" spans="1:13" x14ac:dyDescent="0.2">
      <c r="A604" s="3">
        <f>StartYear+602</f>
        <v>2627</v>
      </c>
      <c r="B604" s="4">
        <f>FacultyFTE*HoursPerWeek*WeeksPerYear*RatePerHour*(1+PracticeGrowth)^602</f>
        <v>1.6419144609132006E+18</v>
      </c>
      <c r="C604" s="4">
        <f>StudentsY1*(1+StudentGrowth)^602*CreditsPerStudent*TuitionPerCredit</f>
        <v>1.0261965380707504E+19</v>
      </c>
      <c r="D604" s="4">
        <f>SimRevY1*(1+SimGrowth)^602</f>
        <v>4.1434916652736246E+29</v>
      </c>
      <c r="E604" s="4">
        <f>FacDevRevY1*(1+FacDevGrowth)^602</f>
        <v>2.0717458326368123E+29</v>
      </c>
      <c r="F604" s="4">
        <f t="shared" si="36"/>
        <v>6.2152374980130559E+29</v>
      </c>
      <c r="G604" s="4">
        <f t="shared" si="37"/>
        <v>6.2152374980294751E+29</v>
      </c>
      <c r="H604" s="4">
        <f>SalaryFTECount*SalaryPerFTE*(1+SalaryGrowth)^602</f>
        <v>3769550384961435</v>
      </c>
      <c r="I604" s="4">
        <f>SimOpsY1*(1+SimOpsGrowth)^602</f>
        <v>3.9648070584754616E+24</v>
      </c>
      <c r="J604" s="4">
        <f>TrainDevY1*(1+TrainDevGrowth)^602</f>
        <v>1.9824035292377308E+24</v>
      </c>
      <c r="K604" s="4">
        <f>AdminY1*(1+AdminGrowth)^602</f>
        <v>3.4289478892037685E+19</v>
      </c>
      <c r="L604" s="4">
        <f t="shared" si="38"/>
        <v>5.947244880961635E+24</v>
      </c>
      <c r="M604" s="4">
        <f t="shared" si="39"/>
        <v>6.2151780255806655E+29</v>
      </c>
    </row>
    <row r="605" spans="1:13" x14ac:dyDescent="0.2">
      <c r="A605" s="3">
        <f>StartYear+603</f>
        <v>2628</v>
      </c>
      <c r="B605" s="4">
        <f>FacultyFTE*HoursPerWeek*WeeksPerYear*RatePerHour*(1+PracticeGrowth)^603</f>
        <v>1.7240101839588611E+18</v>
      </c>
      <c r="C605" s="4">
        <f>StudentsY1*(1+StudentGrowth)^603*CreditsPerStudent*TuitionPerCredit</f>
        <v>1.0775063649742881E+19</v>
      </c>
      <c r="D605" s="4">
        <f>SimRevY1*(1+SimGrowth)^603</f>
        <v>4.5578408318009871E+29</v>
      </c>
      <c r="E605" s="4">
        <f>FacDevRevY1*(1+FacDevGrowth)^603</f>
        <v>2.2789204159004935E+29</v>
      </c>
      <c r="F605" s="4">
        <f t="shared" si="36"/>
        <v>6.8367612478092321E+29</v>
      </c>
      <c r="G605" s="4">
        <f t="shared" si="37"/>
        <v>6.8367612478264724E+29</v>
      </c>
      <c r="H605" s="4">
        <f>SalaryFTECount*SalaryPerFTE*(1+SalaryGrowth)^603</f>
        <v>3920332400359893</v>
      </c>
      <c r="I605" s="4">
        <f>SimOpsY1*(1+SimOpsGrowth)^603</f>
        <v>4.2819916231534984E+24</v>
      </c>
      <c r="J605" s="4">
        <f>TrainDevY1*(1+TrainDevGrowth)^603</f>
        <v>2.1409958115767492E+24</v>
      </c>
      <c r="K605" s="4">
        <f>AdminY1*(1+AdminGrowth)^603</f>
        <v>3.6346847625559949E+19</v>
      </c>
      <c r="L605" s="4">
        <f t="shared" si="38"/>
        <v>6.4230237854982058E+24</v>
      </c>
      <c r="M605" s="4">
        <f t="shared" si="39"/>
        <v>6.8366970175886174E+29</v>
      </c>
    </row>
    <row r="606" spans="1:13" x14ac:dyDescent="0.2">
      <c r="A606" s="3">
        <f>StartYear+604</f>
        <v>2629</v>
      </c>
      <c r="B606" s="4">
        <f>FacultyFTE*HoursPerWeek*WeeksPerYear*RatePerHour*(1+PracticeGrowth)^604</f>
        <v>1.8102106931568038E+18</v>
      </c>
      <c r="C606" s="4">
        <f>StudentsY1*(1+StudentGrowth)^604*CreditsPerStudent*TuitionPerCredit</f>
        <v>1.1313816832230023E+19</v>
      </c>
      <c r="D606" s="4">
        <f>SimRevY1*(1+SimGrowth)^604</f>
        <v>5.0136249149810852E+29</v>
      </c>
      <c r="E606" s="4">
        <f>FacDevRevY1*(1+FacDevGrowth)^604</f>
        <v>2.5068124574905426E+29</v>
      </c>
      <c r="F606" s="4">
        <f t="shared" si="36"/>
        <v>7.5204373725847667E+29</v>
      </c>
      <c r="G606" s="4">
        <f t="shared" si="37"/>
        <v>7.5204373726028684E+29</v>
      </c>
      <c r="H606" s="4">
        <f>SalaryFTECount*SalaryPerFTE*(1+SalaryGrowth)^604</f>
        <v>4077145696374289.5</v>
      </c>
      <c r="I606" s="4">
        <f>SimOpsY1*(1+SimOpsGrowth)^604</f>
        <v>4.6245509530057791E+24</v>
      </c>
      <c r="J606" s="4">
        <f>TrainDevY1*(1+TrainDevGrowth)^604</f>
        <v>2.3122754765028896E+24</v>
      </c>
      <c r="K606" s="4">
        <f>AdminY1*(1+AdminGrowth)^604</f>
        <v>3.8527658483093553E+19</v>
      </c>
      <c r="L606" s="4">
        <f t="shared" si="38"/>
        <v>6.9368649612442967E+24</v>
      </c>
      <c r="M606" s="4">
        <f t="shared" si="39"/>
        <v>7.5203680039532554E+29</v>
      </c>
    </row>
    <row r="607" spans="1:13" x14ac:dyDescent="0.2">
      <c r="A607" s="3">
        <f>StartYear+605</f>
        <v>2630</v>
      </c>
      <c r="B607" s="4">
        <f>FacultyFTE*HoursPerWeek*WeeksPerYear*RatePerHour*(1+PracticeGrowth)^605</f>
        <v>1.9007212278146445E+18</v>
      </c>
      <c r="C607" s="4">
        <f>StudentsY1*(1+StudentGrowth)^605*CreditsPerStudent*TuitionPerCredit</f>
        <v>1.1879507673841527E+19</v>
      </c>
      <c r="D607" s="4">
        <f>SimRevY1*(1+SimGrowth)^605</f>
        <v>5.5149874064791945E+29</v>
      </c>
      <c r="E607" s="4">
        <f>FacDevRevY1*(1+FacDevGrowth)^605</f>
        <v>2.7574937032395972E+29</v>
      </c>
      <c r="F607" s="4">
        <f t="shared" si="36"/>
        <v>8.2724811098375871E+29</v>
      </c>
      <c r="G607" s="4">
        <f t="shared" si="37"/>
        <v>8.2724811098565937E+29</v>
      </c>
      <c r="H607" s="4">
        <f>SalaryFTECount*SalaryPerFTE*(1+SalaryGrowth)^605</f>
        <v>4240231524229261.5</v>
      </c>
      <c r="I607" s="4">
        <f>SimOpsY1*(1+SimOpsGrowth)^605</f>
        <v>4.9945150292462419E+24</v>
      </c>
      <c r="J607" s="4">
        <f>TrainDevY1*(1+TrainDevGrowth)^605</f>
        <v>2.497257514623121E+24</v>
      </c>
      <c r="K607" s="4">
        <f>AdminY1*(1+AdminGrowth)^605</f>
        <v>4.0839317992079163E+19</v>
      </c>
      <c r="L607" s="4">
        <f t="shared" si="38"/>
        <v>7.4918133874275862E+24</v>
      </c>
      <c r="M607" s="4">
        <f t="shared" si="39"/>
        <v>8.2724061917227196E+29</v>
      </c>
    </row>
    <row r="608" spans="1:13" x14ac:dyDescent="0.2">
      <c r="A608" s="3">
        <f>StartYear+606</f>
        <v>2631</v>
      </c>
      <c r="B608" s="4">
        <f>FacultyFTE*HoursPerWeek*WeeksPerYear*RatePerHour*(1+PracticeGrowth)^606</f>
        <v>1.995757289205376E+18</v>
      </c>
      <c r="C608" s="4">
        <f>StudentsY1*(1+StudentGrowth)^606*CreditsPerStudent*TuitionPerCredit</f>
        <v>1.2473483057533602E+19</v>
      </c>
      <c r="D608" s="4">
        <f>SimRevY1*(1+SimGrowth)^606</f>
        <v>6.0664861471271158E+29</v>
      </c>
      <c r="E608" s="4">
        <f>FacDevRevY1*(1+FacDevGrowth)^606</f>
        <v>3.0332430735635579E+29</v>
      </c>
      <c r="F608" s="4">
        <f t="shared" si="36"/>
        <v>9.0997292208154083E+29</v>
      </c>
      <c r="G608" s="4">
        <f t="shared" si="37"/>
        <v>9.0997292208353663E+29</v>
      </c>
      <c r="H608" s="4">
        <f>SalaryFTECount*SalaryPerFTE*(1+SalaryGrowth)^606</f>
        <v>4409840785198430.5</v>
      </c>
      <c r="I608" s="4">
        <f>SimOpsY1*(1+SimOpsGrowth)^606</f>
        <v>5.3940762315859413E+24</v>
      </c>
      <c r="J608" s="4">
        <f>TrainDevY1*(1+TrainDevGrowth)^606</f>
        <v>2.6970381157929707E+24</v>
      </c>
      <c r="K608" s="4">
        <f>AdminY1*(1+AdminGrowth)^606</f>
        <v>4.3289677071603917E+19</v>
      </c>
      <c r="L608" s="4">
        <f t="shared" si="38"/>
        <v>8.091157641465825E+24</v>
      </c>
      <c r="M608" s="4">
        <f t="shared" si="39"/>
        <v>9.0996483092589521E+29</v>
      </c>
    </row>
    <row r="609" spans="1:13" x14ac:dyDescent="0.2">
      <c r="A609" s="3">
        <f>StartYear+607</f>
        <v>2632</v>
      </c>
      <c r="B609" s="4">
        <f>FacultyFTE*HoursPerWeek*WeeksPerYear*RatePerHour*(1+PracticeGrowth)^607</f>
        <v>2.0955451536656458E+18</v>
      </c>
      <c r="C609" s="4">
        <f>StudentsY1*(1+StudentGrowth)^607*CreditsPerStudent*TuitionPerCredit</f>
        <v>1.3097157210410285E+19</v>
      </c>
      <c r="D609" s="4">
        <f>SimRevY1*(1+SimGrowth)^607</f>
        <v>6.6731347618398266E+29</v>
      </c>
      <c r="E609" s="4">
        <f>FacDevRevY1*(1+FacDevGrowth)^607</f>
        <v>3.3365673809199133E+29</v>
      </c>
      <c r="F609" s="4">
        <f t="shared" si="36"/>
        <v>1.0009702142890712E+30</v>
      </c>
      <c r="G609" s="4">
        <f t="shared" si="37"/>
        <v>1.0009702142911668E+30</v>
      </c>
      <c r="H609" s="4">
        <f>SalaryFTECount*SalaryPerFTE*(1+SalaryGrowth)^607</f>
        <v>4586234416606369</v>
      </c>
      <c r="I609" s="4">
        <f>SimOpsY1*(1+SimOpsGrowth)^607</f>
        <v>5.8256023301128175E+24</v>
      </c>
      <c r="J609" s="4">
        <f>TrainDevY1*(1+TrainDevGrowth)^607</f>
        <v>2.9128011650564088E+24</v>
      </c>
      <c r="K609" s="4">
        <f>AdminY1*(1+AdminGrowth)^607</f>
        <v>4.5887057695900156E+19</v>
      </c>
      <c r="L609" s="4">
        <f t="shared" si="38"/>
        <v>8.7384493868131571E+24</v>
      </c>
      <c r="M609" s="4">
        <f t="shared" si="39"/>
        <v>1.00096147584178E+30</v>
      </c>
    </row>
    <row r="610" spans="1:13" x14ac:dyDescent="0.2">
      <c r="A610" s="3">
        <f>StartYear+608</f>
        <v>2633</v>
      </c>
      <c r="B610" s="4">
        <f>FacultyFTE*HoursPerWeek*WeeksPerYear*RatePerHour*(1+PracticeGrowth)^608</f>
        <v>2.2003224113489277E+18</v>
      </c>
      <c r="C610" s="4">
        <f>StudentsY1*(1+StudentGrowth)^608*CreditsPerStudent*TuitionPerCredit</f>
        <v>1.3752015070930799E+19</v>
      </c>
      <c r="D610" s="4">
        <f>SimRevY1*(1+SimGrowth)^608</f>
        <v>7.34044823802381E+29</v>
      </c>
      <c r="E610" s="4">
        <f>FacDevRevY1*(1+FacDevGrowth)^608</f>
        <v>3.670224119011905E+29</v>
      </c>
      <c r="F610" s="4">
        <f t="shared" si="36"/>
        <v>1.1010672357173236E+30</v>
      </c>
      <c r="G610" s="4">
        <f t="shared" si="37"/>
        <v>1.1010672357195239E+30</v>
      </c>
      <c r="H610" s="4">
        <f>SalaryFTECount*SalaryPerFTE*(1+SalaryGrowth)^608</f>
        <v>4769683793270624</v>
      </c>
      <c r="I610" s="4">
        <f>SimOpsY1*(1+SimOpsGrowth)^608</f>
        <v>6.291650516521844E+24</v>
      </c>
      <c r="J610" s="4">
        <f>TrainDevY1*(1+TrainDevGrowth)^608</f>
        <v>3.145825258260922E+24</v>
      </c>
      <c r="K610" s="4">
        <f>AdminY1*(1+AdminGrowth)^608</f>
        <v>4.8640281157654168E+19</v>
      </c>
      <c r="L610" s="4">
        <f t="shared" si="38"/>
        <v>9.437524419833608E+24</v>
      </c>
      <c r="M610" s="4">
        <f t="shared" si="39"/>
        <v>1.101057798195104E+30</v>
      </c>
    </row>
    <row r="611" spans="1:13" x14ac:dyDescent="0.2">
      <c r="A611" s="3">
        <f>StartYear+609</f>
        <v>2634</v>
      </c>
      <c r="B611" s="4">
        <f>FacultyFTE*HoursPerWeek*WeeksPerYear*RatePerHour*(1+PracticeGrowth)^609</f>
        <v>2.310338531916374E+18</v>
      </c>
      <c r="C611" s="4">
        <f>StudentsY1*(1+StudentGrowth)^609*CreditsPerStudent*TuitionPerCredit</f>
        <v>1.4439615824477338E+19</v>
      </c>
      <c r="D611" s="4">
        <f>SimRevY1*(1+SimGrowth)^609</f>
        <v>8.0744930618261917E+29</v>
      </c>
      <c r="E611" s="4">
        <f>FacDevRevY1*(1+FacDevGrowth)^609</f>
        <v>4.0372465309130958E+29</v>
      </c>
      <c r="F611" s="4">
        <f t="shared" si="36"/>
        <v>1.2111739592883684E+30</v>
      </c>
      <c r="G611" s="4">
        <f t="shared" si="37"/>
        <v>1.2111739592906788E+30</v>
      </c>
      <c r="H611" s="4">
        <f>SalaryFTECount*SalaryPerFTE*(1+SalaryGrowth)^609</f>
        <v>4960471145001449</v>
      </c>
      <c r="I611" s="4">
        <f>SimOpsY1*(1+SimOpsGrowth)^609</f>
        <v>6.7949825578435901E+24</v>
      </c>
      <c r="J611" s="4">
        <f>TrainDevY1*(1+TrainDevGrowth)^609</f>
        <v>3.3974912789217951E+24</v>
      </c>
      <c r="K611" s="4">
        <f>AdminY1*(1+AdminGrowth)^609</f>
        <v>5.1558698027113406E+19</v>
      </c>
      <c r="L611" s="4">
        <f t="shared" si="38"/>
        <v>1.0192525400423883E+25</v>
      </c>
      <c r="M611" s="4">
        <f t="shared" si="39"/>
        <v>1.2111637667652784E+30</v>
      </c>
    </row>
    <row r="612" spans="1:13" x14ac:dyDescent="0.2">
      <c r="A612" s="3">
        <f>StartYear+610</f>
        <v>2635</v>
      </c>
      <c r="B612" s="4">
        <f>FacultyFTE*HoursPerWeek*WeeksPerYear*RatePerHour*(1+PracticeGrowth)^610</f>
        <v>2.4258554585121925E+18</v>
      </c>
      <c r="C612" s="4">
        <f>StudentsY1*(1+StudentGrowth)^610*CreditsPerStudent*TuitionPerCredit</f>
        <v>1.5161596615701205E+19</v>
      </c>
      <c r="D612" s="4">
        <f>SimRevY1*(1+SimGrowth)^610</f>
        <v>8.8819423680088108E+29</v>
      </c>
      <c r="E612" s="4">
        <f>FacDevRevY1*(1+FacDevGrowth)^610</f>
        <v>4.4409711840044054E+29</v>
      </c>
      <c r="F612" s="4">
        <f t="shared" si="36"/>
        <v>1.3322913552164832E+30</v>
      </c>
      <c r="G612" s="4">
        <f t="shared" si="37"/>
        <v>1.332291355218909E+30</v>
      </c>
      <c r="H612" s="4">
        <f>SalaryFTECount*SalaryPerFTE*(1+SalaryGrowth)^610</f>
        <v>5158889990801507</v>
      </c>
      <c r="I612" s="4">
        <f>SimOpsY1*(1+SimOpsGrowth)^610</f>
        <v>7.3385811624710784E+24</v>
      </c>
      <c r="J612" s="4">
        <f>TrainDevY1*(1+TrainDevGrowth)^610</f>
        <v>3.6692905812355392E+24</v>
      </c>
      <c r="K612" s="4">
        <f>AdminY1*(1+AdminGrowth)^610</f>
        <v>5.4652219908740219E+19</v>
      </c>
      <c r="L612" s="4">
        <f t="shared" si="38"/>
        <v>1.1007926401085418E+25</v>
      </c>
      <c r="M612" s="4">
        <f t="shared" si="39"/>
        <v>1.332280347292508E+30</v>
      </c>
    </row>
    <row r="613" spans="1:13" x14ac:dyDescent="0.2">
      <c r="A613" s="3">
        <f>StartYear+611</f>
        <v>2636</v>
      </c>
      <c r="B613" s="4">
        <f>FacultyFTE*HoursPerWeek*WeeksPerYear*RatePerHour*(1+PracticeGrowth)^611</f>
        <v>2.547148231437803E+18</v>
      </c>
      <c r="C613" s="4">
        <f>StudentsY1*(1+StudentGrowth)^611*CreditsPerStudent*TuitionPerCredit</f>
        <v>1.5919676446486268E+19</v>
      </c>
      <c r="D613" s="4">
        <f>SimRevY1*(1+SimGrowth)^611</f>
        <v>9.7701366048096943E+29</v>
      </c>
      <c r="E613" s="4">
        <f>FacDevRevY1*(1+FacDevGrowth)^611</f>
        <v>4.8850683024048472E+29</v>
      </c>
      <c r="F613" s="4">
        <f t="shared" si="36"/>
        <v>1.4655204907373739E+30</v>
      </c>
      <c r="G613" s="4">
        <f t="shared" si="37"/>
        <v>1.4655204907399209E+30</v>
      </c>
      <c r="H613" s="4">
        <f>SalaryFTECount*SalaryPerFTE*(1+SalaryGrowth)^611</f>
        <v>5365245590433567</v>
      </c>
      <c r="I613" s="4">
        <f>SimOpsY1*(1+SimOpsGrowth)^611</f>
        <v>7.9256676554687655E+24</v>
      </c>
      <c r="J613" s="4">
        <f>TrainDevY1*(1+TrainDevGrowth)^611</f>
        <v>3.9628338277343827E+24</v>
      </c>
      <c r="K613" s="4">
        <f>AdminY1*(1+AdminGrowth)^611</f>
        <v>5.7931353103264637E+19</v>
      </c>
      <c r="L613" s="4">
        <f t="shared" si="38"/>
        <v>1.1888559419921497E+25</v>
      </c>
      <c r="M613" s="4">
        <f t="shared" si="39"/>
        <v>1.4655086021805011E+30</v>
      </c>
    </row>
    <row r="614" spans="1:13" x14ac:dyDescent="0.2">
      <c r="A614" s="3">
        <f>StartYear+612</f>
        <v>2637</v>
      </c>
      <c r="B614" s="4">
        <f>FacultyFTE*HoursPerWeek*WeeksPerYear*RatePerHour*(1+PracticeGrowth)^612</f>
        <v>2.6745056430096922E+18</v>
      </c>
      <c r="C614" s="4">
        <f>StudentsY1*(1+StudentGrowth)^612*CreditsPerStudent*TuitionPerCredit</f>
        <v>1.6715660268810576E+19</v>
      </c>
      <c r="D614" s="4">
        <f>SimRevY1*(1+SimGrowth)^612</f>
        <v>1.0747150265290664E+30</v>
      </c>
      <c r="E614" s="4">
        <f>FacDevRevY1*(1+FacDevGrowth)^612</f>
        <v>5.3735751326453321E+29</v>
      </c>
      <c r="F614" s="4">
        <f t="shared" si="36"/>
        <v>1.6120725398103152E+30</v>
      </c>
      <c r="G614" s="4">
        <f t="shared" si="37"/>
        <v>1.6120725398129898E+30</v>
      </c>
      <c r="H614" s="4">
        <f>SalaryFTECount*SalaryPerFTE*(1+SalaryGrowth)^612</f>
        <v>5579855414050910</v>
      </c>
      <c r="I614" s="4">
        <f>SimOpsY1*(1+SimOpsGrowth)^612</f>
        <v>8.5597210679062683E+24</v>
      </c>
      <c r="J614" s="4">
        <f>TrainDevY1*(1+TrainDevGrowth)^612</f>
        <v>4.2798605339531341E+24</v>
      </c>
      <c r="K614" s="4">
        <f>AdminY1*(1+AdminGrowth)^612</f>
        <v>6.1407234289460527E+19</v>
      </c>
      <c r="L614" s="4">
        <f t="shared" si="38"/>
        <v>1.2839643014673547E+25</v>
      </c>
      <c r="M614" s="4">
        <f t="shared" si="39"/>
        <v>1.6120597001699752E+30</v>
      </c>
    </row>
    <row r="615" spans="1:13" x14ac:dyDescent="0.2">
      <c r="A615" s="3">
        <f>StartYear+613</f>
        <v>2638</v>
      </c>
      <c r="B615" s="4">
        <f>FacultyFTE*HoursPerWeek*WeeksPerYear*RatePerHour*(1+PracticeGrowth)^613</f>
        <v>2.8082309251601772E+18</v>
      </c>
      <c r="C615" s="4">
        <f>StudentsY1*(1+StudentGrowth)^613*CreditsPerStudent*TuitionPerCredit</f>
        <v>1.7551443282251106E+19</v>
      </c>
      <c r="D615" s="4">
        <f>SimRevY1*(1+SimGrowth)^613</f>
        <v>1.182186529181973E+30</v>
      </c>
      <c r="E615" s="4">
        <f>FacDevRevY1*(1+FacDevGrowth)^613</f>
        <v>5.9109326459098649E+29</v>
      </c>
      <c r="F615" s="4">
        <f t="shared" si="36"/>
        <v>1.773279793790511E+30</v>
      </c>
      <c r="G615" s="4">
        <f t="shared" si="37"/>
        <v>1.7732797937933193E+30</v>
      </c>
      <c r="H615" s="4">
        <f>SalaryFTECount*SalaryPerFTE*(1+SalaryGrowth)^613</f>
        <v>5803049630612948</v>
      </c>
      <c r="I615" s="4">
        <f>SimOpsY1*(1+SimOpsGrowth)^613</f>
        <v>9.2444987533387692E+24</v>
      </c>
      <c r="J615" s="4">
        <f>TrainDevY1*(1+TrainDevGrowth)^613</f>
        <v>4.6222493766693846E+24</v>
      </c>
      <c r="K615" s="4">
        <f>AdminY1*(1+AdminGrowth)^613</f>
        <v>6.5091668346828161E+19</v>
      </c>
      <c r="L615" s="4">
        <f t="shared" si="38"/>
        <v>1.3866813227479548E+25</v>
      </c>
      <c r="M615" s="4">
        <f t="shared" si="39"/>
        <v>1.7732659269800917E+30</v>
      </c>
    </row>
    <row r="616" spans="1:13" x14ac:dyDescent="0.2">
      <c r="A616" s="3">
        <f>StartYear+614</f>
        <v>2639</v>
      </c>
      <c r="B616" s="4">
        <f>FacultyFTE*HoursPerWeek*WeeksPerYear*RatePerHour*(1+PracticeGrowth)^614</f>
        <v>2.9486424714181857E+18</v>
      </c>
      <c r="C616" s="4">
        <f>StudentsY1*(1+StudentGrowth)^614*CreditsPerStudent*TuitionPerCredit</f>
        <v>1.8429015446363662E+19</v>
      </c>
      <c r="D616" s="4">
        <f>SimRevY1*(1+SimGrowth)^614</f>
        <v>1.3004051821001705E+30</v>
      </c>
      <c r="E616" s="4">
        <f>FacDevRevY1*(1+FacDevGrowth)^614</f>
        <v>6.5020259105008524E+29</v>
      </c>
      <c r="F616" s="4">
        <f t="shared" si="36"/>
        <v>1.9506077731686847E+30</v>
      </c>
      <c r="G616" s="4">
        <f t="shared" si="37"/>
        <v>1.9506077731716335E+30</v>
      </c>
      <c r="H616" s="4">
        <f>SalaryFTECount*SalaryPerFTE*(1+SalaryGrowth)^614</f>
        <v>6035171615837465</v>
      </c>
      <c r="I616" s="4">
        <f>SimOpsY1*(1+SimOpsGrowth)^614</f>
        <v>9.9840586536058713E+24</v>
      </c>
      <c r="J616" s="4">
        <f>TrainDevY1*(1+TrainDevGrowth)^614</f>
        <v>4.9920293268029356E+24</v>
      </c>
      <c r="K616" s="4">
        <f>AdminY1*(1+AdminGrowth)^614</f>
        <v>6.8997168447637856E+19</v>
      </c>
      <c r="L616" s="4">
        <f t="shared" si="38"/>
        <v>1.4976156983612427E+25</v>
      </c>
      <c r="M616" s="4">
        <f t="shared" si="39"/>
        <v>1.9505927970146497E+30</v>
      </c>
    </row>
    <row r="617" spans="1:13" x14ac:dyDescent="0.2">
      <c r="A617" s="3">
        <f>StartYear+615</f>
        <v>2640</v>
      </c>
      <c r="B617" s="4">
        <f>FacultyFTE*HoursPerWeek*WeeksPerYear*RatePerHour*(1+PracticeGrowth)^615</f>
        <v>3.0960745949890959E+18</v>
      </c>
      <c r="C617" s="4">
        <f>StudentsY1*(1+StudentGrowth)^615*CreditsPerStudent*TuitionPerCredit</f>
        <v>1.9350466218681848E+19</v>
      </c>
      <c r="D617" s="4">
        <f>SimRevY1*(1+SimGrowth)^615</f>
        <v>1.4304457003101878E+30</v>
      </c>
      <c r="E617" s="4">
        <f>FacDevRevY1*(1+FacDevGrowth)^615</f>
        <v>7.1522285015509388E+29</v>
      </c>
      <c r="F617" s="4">
        <f t="shared" si="36"/>
        <v>2.1456685504846322E+30</v>
      </c>
      <c r="G617" s="4">
        <f t="shared" si="37"/>
        <v>2.1456685504877281E+30</v>
      </c>
      <c r="H617" s="4">
        <f>SalaryFTECount*SalaryPerFTE*(1+SalaryGrowth)^615</f>
        <v>6276578480470963</v>
      </c>
      <c r="I617" s="4">
        <f>SimOpsY1*(1+SimOpsGrowth)^615</f>
        <v>1.0782783345894342E+25</v>
      </c>
      <c r="J617" s="4">
        <f>TrainDevY1*(1+TrainDevGrowth)^615</f>
        <v>5.3913916729471708E+24</v>
      </c>
      <c r="K617" s="4">
        <f>AdminY1*(1+AdminGrowth)^615</f>
        <v>7.3136998554496139E+19</v>
      </c>
      <c r="L617" s="4">
        <f t="shared" si="38"/>
        <v>1.6174248162116646E+25</v>
      </c>
      <c r="M617" s="4">
        <f t="shared" si="39"/>
        <v>2.145652376239566E+30</v>
      </c>
    </row>
    <row r="618" spans="1:13" x14ac:dyDescent="0.2">
      <c r="A618" s="3">
        <f>StartYear+616</f>
        <v>2641</v>
      </c>
      <c r="B618" s="4">
        <f>FacultyFTE*HoursPerWeek*WeeksPerYear*RatePerHour*(1+PracticeGrowth)^616</f>
        <v>3.2508783247385498E+18</v>
      </c>
      <c r="C618" s="4">
        <f>StudentsY1*(1+StudentGrowth)^616*CreditsPerStudent*TuitionPerCredit</f>
        <v>2.0317989529615938E+19</v>
      </c>
      <c r="D618" s="4">
        <f>SimRevY1*(1+SimGrowth)^616</f>
        <v>1.5734902703412066E+30</v>
      </c>
      <c r="E618" s="4">
        <f>FacDevRevY1*(1+FacDevGrowth)^616</f>
        <v>7.8674513517060332E+29</v>
      </c>
      <c r="F618" s="4">
        <f t="shared" si="36"/>
        <v>2.3602354055321278E+30</v>
      </c>
      <c r="G618" s="4">
        <f t="shared" si="37"/>
        <v>2.3602354055353786E+30</v>
      </c>
      <c r="H618" s="4">
        <f>SalaryFTECount*SalaryPerFTE*(1+SalaryGrowth)^616</f>
        <v>6527641619689805</v>
      </c>
      <c r="I618" s="4">
        <f>SimOpsY1*(1+SimOpsGrowth)^616</f>
        <v>1.1645406013565889E+25</v>
      </c>
      <c r="J618" s="4">
        <f>TrainDevY1*(1+TrainDevGrowth)^616</f>
        <v>5.8227030067829446E+24</v>
      </c>
      <c r="K618" s="4">
        <f>AdminY1*(1+AdminGrowth)^616</f>
        <v>7.7525218467765895E+19</v>
      </c>
      <c r="L618" s="4">
        <f t="shared" si="38"/>
        <v>1.7468186552094944E+25</v>
      </c>
      <c r="M618" s="4">
        <f t="shared" si="39"/>
        <v>2.3602179373488266E+30</v>
      </c>
    </row>
    <row r="619" spans="1:13" x14ac:dyDescent="0.2">
      <c r="A619" s="3">
        <f>StartYear+617</f>
        <v>2642</v>
      </c>
      <c r="B619" s="4">
        <f>FacultyFTE*HoursPerWeek*WeeksPerYear*RatePerHour*(1+PracticeGrowth)^617</f>
        <v>3.4134222409754778E+18</v>
      </c>
      <c r="C619" s="4">
        <f>StudentsY1*(1+StudentGrowth)^617*CreditsPerStudent*TuitionPerCredit</f>
        <v>2.1333889006096732E+19</v>
      </c>
      <c r="D619" s="4">
        <f>SimRevY1*(1+SimGrowth)^617</f>
        <v>1.7308392973753269E+30</v>
      </c>
      <c r="E619" s="4">
        <f>FacDevRevY1*(1+FacDevGrowth)^617</f>
        <v>8.6541964868766347E+29</v>
      </c>
      <c r="F619" s="4">
        <f t="shared" si="36"/>
        <v>2.5962589460843245E+30</v>
      </c>
      <c r="G619" s="4">
        <f t="shared" si="37"/>
        <v>2.5962589460877377E+30</v>
      </c>
      <c r="H619" s="4">
        <f>SalaryFTECount*SalaryPerFTE*(1+SalaryGrowth)^617</f>
        <v>6788747284477395</v>
      </c>
      <c r="I619" s="4">
        <f>SimOpsY1*(1+SimOpsGrowth)^617</f>
        <v>1.2577038494651159E+25</v>
      </c>
      <c r="J619" s="4">
        <f>TrainDevY1*(1+TrainDevGrowth)^617</f>
        <v>6.2885192473255797E+24</v>
      </c>
      <c r="K619" s="4">
        <f>AdminY1*(1+AdminGrowth)^617</f>
        <v>8.2176731575831855E+19</v>
      </c>
      <c r="L619" s="4">
        <f t="shared" si="38"/>
        <v>1.8865639925497062E+25</v>
      </c>
      <c r="M619" s="4">
        <f t="shared" si="39"/>
        <v>2.5962400804478124E+30</v>
      </c>
    </row>
    <row r="620" spans="1:13" x14ac:dyDescent="0.2">
      <c r="A620" s="3">
        <f>StartYear+618</f>
        <v>2643</v>
      </c>
      <c r="B620" s="4">
        <f>FacultyFTE*HoursPerWeek*WeeksPerYear*RatePerHour*(1+PracticeGrowth)^618</f>
        <v>3.5840933530242519E+18</v>
      </c>
      <c r="C620" s="4">
        <f>StudentsY1*(1+StudentGrowth)^618*CreditsPerStudent*TuitionPerCredit</f>
        <v>2.2400583456401572E+19</v>
      </c>
      <c r="D620" s="4">
        <f>SimRevY1*(1+SimGrowth)^618</f>
        <v>1.9039232271128599E+30</v>
      </c>
      <c r="E620" s="4">
        <f>FacDevRevY1*(1+FacDevGrowth)^618</f>
        <v>9.5196161355642993E+29</v>
      </c>
      <c r="F620" s="4">
        <f t="shared" si="36"/>
        <v>2.8558848406916904E+30</v>
      </c>
      <c r="G620" s="4">
        <f t="shared" si="37"/>
        <v>2.8558848406952747E+30</v>
      </c>
      <c r="H620" s="4">
        <f>SalaryFTECount*SalaryPerFTE*(1+SalaryGrowth)^618</f>
        <v>7060297175856491</v>
      </c>
      <c r="I620" s="4">
        <f>SimOpsY1*(1+SimOpsGrowth)^618</f>
        <v>1.3583201574223252E+25</v>
      </c>
      <c r="J620" s="4">
        <f>TrainDevY1*(1+TrainDevGrowth)^618</f>
        <v>6.7916007871116261E+24</v>
      </c>
      <c r="K620" s="4">
        <f>AdminY1*(1+AdminGrowth)^618</f>
        <v>8.7107335470381777E+19</v>
      </c>
      <c r="L620" s="4">
        <f t="shared" si="38"/>
        <v>2.0374889475730648E+25</v>
      </c>
      <c r="M620" s="4">
        <f t="shared" si="39"/>
        <v>2.8558644658057991E+30</v>
      </c>
    </row>
    <row r="621" spans="1:13" x14ac:dyDescent="0.2">
      <c r="A621" s="3">
        <f>StartYear+619</f>
        <v>2644</v>
      </c>
      <c r="B621" s="4">
        <f>FacultyFTE*HoursPerWeek*WeeksPerYear*RatePerHour*(1+PracticeGrowth)^619</f>
        <v>3.7632980206754647E+18</v>
      </c>
      <c r="C621" s="4">
        <f>StudentsY1*(1+StudentGrowth)^619*CreditsPerStudent*TuitionPerCredit</f>
        <v>2.3520612629221655E+19</v>
      </c>
      <c r="D621" s="4">
        <f>SimRevY1*(1+SimGrowth)^619</f>
        <v>2.0943155498241464E+30</v>
      </c>
      <c r="E621" s="4">
        <f>FacDevRevY1*(1+FacDevGrowth)^619</f>
        <v>1.0471577749120732E+30</v>
      </c>
      <c r="F621" s="4">
        <f t="shared" si="36"/>
        <v>3.1414733247597404E+30</v>
      </c>
      <c r="G621" s="4">
        <f t="shared" si="37"/>
        <v>3.1414733247635037E+30</v>
      </c>
      <c r="H621" s="4">
        <f>SalaryFTECount*SalaryPerFTE*(1+SalaryGrowth)^619</f>
        <v>7342709062890751</v>
      </c>
      <c r="I621" s="4">
        <f>SimOpsY1*(1+SimOpsGrowth)^619</f>
        <v>1.4669857700161113E+25</v>
      </c>
      <c r="J621" s="4">
        <f>TrainDevY1*(1+TrainDevGrowth)^619</f>
        <v>7.3349288500805564E+24</v>
      </c>
      <c r="K621" s="4">
        <f>AdminY1*(1+AdminGrowth)^619</f>
        <v>9.2333775598604698E+19</v>
      </c>
      <c r="L621" s="4">
        <f t="shared" si="38"/>
        <v>2.2004878891359979E+25</v>
      </c>
      <c r="M621" s="4">
        <f t="shared" si="39"/>
        <v>3.1414513198846122E+30</v>
      </c>
    </row>
    <row r="622" spans="1:13" x14ac:dyDescent="0.2">
      <c r="A622" s="3">
        <f>StartYear+620</f>
        <v>2645</v>
      </c>
      <c r="B622" s="4">
        <f>FacultyFTE*HoursPerWeek*WeeksPerYear*RatePerHour*(1+PracticeGrowth)^620</f>
        <v>3.9514629217092372E+18</v>
      </c>
      <c r="C622" s="4">
        <f>StudentsY1*(1+StudentGrowth)^620*CreditsPerStudent*TuitionPerCredit</f>
        <v>2.4696643260682732E+19</v>
      </c>
      <c r="D622" s="4">
        <f>SimRevY1*(1+SimGrowth)^620</f>
        <v>2.3037471048065611E+30</v>
      </c>
      <c r="E622" s="4">
        <f>FacDevRevY1*(1+FacDevGrowth)^620</f>
        <v>1.1518735524032806E+30</v>
      </c>
      <c r="F622" s="4">
        <f t="shared" si="36"/>
        <v>3.4556206572345385E+30</v>
      </c>
      <c r="G622" s="4">
        <f t="shared" si="37"/>
        <v>3.4556206572384898E+30</v>
      </c>
      <c r="H622" s="4">
        <f>SalaryFTECount*SalaryPerFTE*(1+SalaryGrowth)^620</f>
        <v>7636417425406383</v>
      </c>
      <c r="I622" s="4">
        <f>SimOpsY1*(1+SimOpsGrowth)^620</f>
        <v>1.5843446316174004E+25</v>
      </c>
      <c r="J622" s="4">
        <f>TrainDevY1*(1+TrainDevGrowth)^620</f>
        <v>7.921723158087002E+24</v>
      </c>
      <c r="K622" s="4">
        <f>AdminY1*(1+AdminGrowth)^620</f>
        <v>9.7873802134520988E+19</v>
      </c>
      <c r="L622" s="4">
        <f t="shared" si="38"/>
        <v>2.3765267355699556E+25</v>
      </c>
      <c r="M622" s="4">
        <f t="shared" si="39"/>
        <v>3.4555968919711344E+30</v>
      </c>
    </row>
    <row r="623" spans="1:13" x14ac:dyDescent="0.2">
      <c r="A623" s="3">
        <f>StartYear+621</f>
        <v>2646</v>
      </c>
      <c r="B623" s="4">
        <f>FacultyFTE*HoursPerWeek*WeeksPerYear*RatePerHour*(1+PracticeGrowth)^621</f>
        <v>4.1490360677946998E+18</v>
      </c>
      <c r="C623" s="4">
        <f>StudentsY1*(1+StudentGrowth)^621*CreditsPerStudent*TuitionPerCredit</f>
        <v>2.5931475423716872E+19</v>
      </c>
      <c r="D623" s="4">
        <f>SimRevY1*(1+SimGrowth)^621</f>
        <v>2.5341218152872175E+30</v>
      </c>
      <c r="E623" s="4">
        <f>FacDevRevY1*(1+FacDevGrowth)^621</f>
        <v>1.2670609076436088E+30</v>
      </c>
      <c r="F623" s="4">
        <f t="shared" si="36"/>
        <v>3.8011827229567577E+30</v>
      </c>
      <c r="G623" s="4">
        <f t="shared" si="37"/>
        <v>3.8011827229609066E+30</v>
      </c>
      <c r="H623" s="4">
        <f>SalaryFTECount*SalaryPerFTE*(1+SalaryGrowth)^621</f>
        <v>7941874122422637</v>
      </c>
      <c r="I623" s="4">
        <f>SimOpsY1*(1+SimOpsGrowth)^621</f>
        <v>1.7110922021467925E+25</v>
      </c>
      <c r="J623" s="4">
        <f>TrainDevY1*(1+TrainDevGrowth)^621</f>
        <v>8.5554610107339625E+24</v>
      </c>
      <c r="K623" s="4">
        <f>AdminY1*(1+AdminGrowth)^621</f>
        <v>1.0374623026259226E+20</v>
      </c>
      <c r="L623" s="4">
        <f t="shared" si="38"/>
        <v>2.5666486786374025E+25</v>
      </c>
      <c r="M623" s="4">
        <f t="shared" si="39"/>
        <v>3.8011570564741205E+30</v>
      </c>
    </row>
    <row r="624" spans="1:13" x14ac:dyDescent="0.2">
      <c r="A624" s="3">
        <f>StartYear+622</f>
        <v>2647</v>
      </c>
      <c r="B624" s="4">
        <f>FacultyFTE*HoursPerWeek*WeeksPerYear*RatePerHour*(1+PracticeGrowth)^622</f>
        <v>4.3564878711844342E+18</v>
      </c>
      <c r="C624" s="4">
        <f>StudentsY1*(1+StudentGrowth)^622*CreditsPerStudent*TuitionPerCredit</f>
        <v>2.7228049194902716E+19</v>
      </c>
      <c r="D624" s="4">
        <f>SimRevY1*(1+SimGrowth)^622</f>
        <v>2.7875339968159394E+30</v>
      </c>
      <c r="E624" s="4">
        <f>FacDevRevY1*(1+FacDevGrowth)^622</f>
        <v>1.3937669984079697E+30</v>
      </c>
      <c r="F624" s="4">
        <f t="shared" si="36"/>
        <v>4.1813009952511373E+30</v>
      </c>
      <c r="G624" s="4">
        <f t="shared" si="37"/>
        <v>4.181300995255494E+30</v>
      </c>
      <c r="H624" s="4">
        <f>SalaryFTECount*SalaryPerFTE*(1+SalaryGrowth)^622</f>
        <v>8259549087319545</v>
      </c>
      <c r="I624" s="4">
        <f>SimOpsY1*(1+SimOpsGrowth)^622</f>
        <v>1.8479795783185364E+25</v>
      </c>
      <c r="J624" s="4">
        <f>TrainDevY1*(1+TrainDevGrowth)^622</f>
        <v>9.2398978915926818E+24</v>
      </c>
      <c r="K624" s="4">
        <f>AdminY1*(1+AdminGrowth)^622</f>
        <v>1.0997100407834778E+20</v>
      </c>
      <c r="L624" s="4">
        <f t="shared" si="38"/>
        <v>2.7719803654041673E+25</v>
      </c>
      <c r="M624" s="4">
        <f t="shared" si="39"/>
        <v>4.1812732754518398E+30</v>
      </c>
    </row>
    <row r="625" spans="1:13" x14ac:dyDescent="0.2">
      <c r="A625" s="3">
        <f>StartYear+623</f>
        <v>2648</v>
      </c>
      <c r="B625" s="4">
        <f>FacultyFTE*HoursPerWeek*WeeksPerYear*RatePerHour*(1+PracticeGrowth)^623</f>
        <v>4.5743122647436575E+18</v>
      </c>
      <c r="C625" s="4">
        <f>StudentsY1*(1+StudentGrowth)^623*CreditsPerStudent*TuitionPerCredit</f>
        <v>2.8589451654647857E+19</v>
      </c>
      <c r="D625" s="4">
        <f>SimRevY1*(1+SimGrowth)^623</f>
        <v>3.0662873964975334E+30</v>
      </c>
      <c r="E625" s="4">
        <f>FacDevRevY1*(1+FacDevGrowth)^623</f>
        <v>1.5331436982487667E+30</v>
      </c>
      <c r="F625" s="4">
        <f t="shared" si="36"/>
        <v>4.5994310947748892E+30</v>
      </c>
      <c r="G625" s="4">
        <f t="shared" si="37"/>
        <v>4.5994310947794637E+30</v>
      </c>
      <c r="H625" s="4">
        <f>SalaryFTECount*SalaryPerFTE*(1+SalaryGrowth)^623</f>
        <v>8589931050812326</v>
      </c>
      <c r="I625" s="4">
        <f>SimOpsY1*(1+SimOpsGrowth)^623</f>
        <v>1.9958179445840192E+25</v>
      </c>
      <c r="J625" s="4">
        <f>TrainDevY1*(1+TrainDevGrowth)^623</f>
        <v>9.9790897229200961E+24</v>
      </c>
      <c r="K625" s="4">
        <f>AdminY1*(1+AdminGrowth)^623</f>
        <v>1.1656926432304869E+20</v>
      </c>
      <c r="L625" s="4">
        <f t="shared" si="38"/>
        <v>2.9937385746614545E+25</v>
      </c>
      <c r="M625" s="4">
        <f t="shared" si="39"/>
        <v>4.599401157393717E+30</v>
      </c>
    </row>
    <row r="626" spans="1:13" x14ac:dyDescent="0.2">
      <c r="A626" s="3">
        <f>StartYear+624</f>
        <v>2649</v>
      </c>
      <c r="B626" s="4">
        <f>FacultyFTE*HoursPerWeek*WeeksPerYear*RatePerHour*(1+PracticeGrowth)^624</f>
        <v>4.8030278779808399E+18</v>
      </c>
      <c r="C626" s="4">
        <f>StudentsY1*(1+StudentGrowth)^624*CreditsPerStudent*TuitionPerCredit</f>
        <v>3.0018924237380248E+19</v>
      </c>
      <c r="D626" s="4">
        <f>SimRevY1*(1+SimGrowth)^624</f>
        <v>3.3729161361472872E+30</v>
      </c>
      <c r="E626" s="4">
        <f>FacDevRevY1*(1+FacDevGrowth)^624</f>
        <v>1.6864580680736436E+30</v>
      </c>
      <c r="F626" s="4">
        <f t="shared" si="36"/>
        <v>5.0593742042509496E+30</v>
      </c>
      <c r="G626" s="4">
        <f t="shared" si="37"/>
        <v>5.0593742042557526E+30</v>
      </c>
      <c r="H626" s="4">
        <f>SalaryFTECount*SalaryPerFTE*(1+SalaryGrowth)^624</f>
        <v>8933528292844821</v>
      </c>
      <c r="I626" s="4">
        <f>SimOpsY1*(1+SimOpsGrowth)^624</f>
        <v>2.1554833801507406E+25</v>
      </c>
      <c r="J626" s="4">
        <f>TrainDevY1*(1+TrainDevGrowth)^624</f>
        <v>1.0777416900753703E+25</v>
      </c>
      <c r="K626" s="4">
        <f>AdminY1*(1+AdminGrowth)^624</f>
        <v>1.2356342018243158E+20</v>
      </c>
      <c r="L626" s="4">
        <f t="shared" si="38"/>
        <v>3.2332374274614821E+25</v>
      </c>
      <c r="M626" s="4">
        <f t="shared" si="39"/>
        <v>5.0593418718814779E+30</v>
      </c>
    </row>
    <row r="627" spans="1:13" x14ac:dyDescent="0.2">
      <c r="A627" s="3">
        <f>StartYear+625</f>
        <v>2650</v>
      </c>
      <c r="B627" s="4">
        <f>FacultyFTE*HoursPerWeek*WeeksPerYear*RatePerHour*(1+PracticeGrowth)^625</f>
        <v>5.0431792718798817E+18</v>
      </c>
      <c r="C627" s="4">
        <f>StudentsY1*(1+StudentGrowth)^625*CreditsPerStudent*TuitionPerCredit</f>
        <v>3.1519870449249264E+19</v>
      </c>
      <c r="D627" s="4">
        <f>SimRevY1*(1+SimGrowth)^625</f>
        <v>3.7102077497620159E+30</v>
      </c>
      <c r="E627" s="4">
        <f>FacDevRevY1*(1+FacDevGrowth)^625</f>
        <v>1.855103874881008E+30</v>
      </c>
      <c r="F627" s="4">
        <f t="shared" si="36"/>
        <v>5.565311624674544E+30</v>
      </c>
      <c r="G627" s="4">
        <f t="shared" si="37"/>
        <v>5.5653116246795869E+30</v>
      </c>
      <c r="H627" s="4">
        <f>SalaryFTECount*SalaryPerFTE*(1+SalaryGrowth)^625</f>
        <v>9290869424558612</v>
      </c>
      <c r="I627" s="4">
        <f>SimOpsY1*(1+SimOpsGrowth)^625</f>
        <v>2.3279220505627997E+25</v>
      </c>
      <c r="J627" s="4">
        <f>TrainDevY1*(1+TrainDevGrowth)^625</f>
        <v>1.1639610252813999E+25</v>
      </c>
      <c r="K627" s="4">
        <f>AdminY1*(1+AdminGrowth)^625</f>
        <v>1.3097722539337748E+20</v>
      </c>
      <c r="L627" s="4">
        <f t="shared" si="38"/>
        <v>3.4918961744958259E+25</v>
      </c>
      <c r="M627" s="4">
        <f t="shared" si="39"/>
        <v>5.5652767057178422E+30</v>
      </c>
    </row>
    <row r="628" spans="1:13" x14ac:dyDescent="0.2">
      <c r="A628" s="3">
        <f>StartYear+626</f>
        <v>2651</v>
      </c>
      <c r="B628" s="4">
        <f>FacultyFTE*HoursPerWeek*WeeksPerYear*RatePerHour*(1+PracticeGrowth)^626</f>
        <v>5.295338235473877E+18</v>
      </c>
      <c r="C628" s="4">
        <f>StudentsY1*(1+StudentGrowth)^626*CreditsPerStudent*TuitionPerCredit</f>
        <v>3.309586397171173E+19</v>
      </c>
      <c r="D628" s="4">
        <f>SimRevY1*(1+SimGrowth)^626</f>
        <v>4.0812285247382175E+30</v>
      </c>
      <c r="E628" s="4">
        <f>FacDevRevY1*(1+FacDevGrowth)^626</f>
        <v>2.0406142623691088E+30</v>
      </c>
      <c r="F628" s="4">
        <f t="shared" si="36"/>
        <v>6.1218427871404218E+30</v>
      </c>
      <c r="G628" s="4">
        <f t="shared" si="37"/>
        <v>6.1218427871457169E+30</v>
      </c>
      <c r="H628" s="4">
        <f>SalaryFTECount*SalaryPerFTE*(1+SalaryGrowth)^626</f>
        <v>9662504201540958</v>
      </c>
      <c r="I628" s="4">
        <f>SimOpsY1*(1+SimOpsGrowth)^626</f>
        <v>2.5141558146078241E+25</v>
      </c>
      <c r="J628" s="4">
        <f>TrainDevY1*(1+TrainDevGrowth)^626</f>
        <v>1.257077907303912E+25</v>
      </c>
      <c r="K628" s="4">
        <f>AdminY1*(1+AdminGrowth)^626</f>
        <v>1.3883585891698011E+20</v>
      </c>
      <c r="L628" s="4">
        <f t="shared" si="38"/>
        <v>3.7712476064638782E+25</v>
      </c>
      <c r="M628" s="4">
        <f t="shared" si="39"/>
        <v>6.1218050746696524E+30</v>
      </c>
    </row>
    <row r="629" spans="1:13" x14ac:dyDescent="0.2">
      <c r="A629" s="3">
        <f>StartYear+627</f>
        <v>2652</v>
      </c>
      <c r="B629" s="4">
        <f>FacultyFTE*HoursPerWeek*WeeksPerYear*RatePerHour*(1+PracticeGrowth)^627</f>
        <v>5.5601051472475699E+18</v>
      </c>
      <c r="C629" s="4">
        <f>StudentsY1*(1+StudentGrowth)^627*CreditsPerStudent*TuitionPerCredit</f>
        <v>3.4750657170297311E+19</v>
      </c>
      <c r="D629" s="4">
        <f>SimRevY1*(1+SimGrowth)^627</f>
        <v>4.4893513772120394E+30</v>
      </c>
      <c r="E629" s="4">
        <f>FacDevRevY1*(1+FacDevGrowth)^627</f>
        <v>2.2446756886060197E+30</v>
      </c>
      <c r="F629" s="4">
        <f t="shared" si="36"/>
        <v>6.7340270658528101E+30</v>
      </c>
      <c r="G629" s="4">
        <f t="shared" si="37"/>
        <v>6.7340270658583698E+30</v>
      </c>
      <c r="H629" s="4">
        <f>SalaryFTECount*SalaryPerFTE*(1+SalaryGrowth)^627</f>
        <v>1.0049004369602596E+16</v>
      </c>
      <c r="I629" s="4">
        <f>SimOpsY1*(1+SimOpsGrowth)^627</f>
        <v>2.7152882797764505E+25</v>
      </c>
      <c r="J629" s="4">
        <f>TrainDevY1*(1+TrainDevGrowth)^627</f>
        <v>1.3576441398882252E+25</v>
      </c>
      <c r="K629" s="4">
        <f>AdminY1*(1+AdminGrowth)^627</f>
        <v>1.4716601045199893E+20</v>
      </c>
      <c r="L629" s="4">
        <f t="shared" si="38"/>
        <v>4.0729471372706219E+25</v>
      </c>
      <c r="M629" s="4">
        <f t="shared" si="39"/>
        <v>6.7339863363869971E+30</v>
      </c>
    </row>
    <row r="630" spans="1:13" x14ac:dyDescent="0.2">
      <c r="A630" s="3">
        <f>StartYear+628</f>
        <v>2653</v>
      </c>
      <c r="B630" s="4">
        <f>FacultyFTE*HoursPerWeek*WeeksPerYear*RatePerHour*(1+PracticeGrowth)^628</f>
        <v>5.8381104046099487E+18</v>
      </c>
      <c r="C630" s="4">
        <f>StudentsY1*(1+StudentGrowth)^628*CreditsPerStudent*TuitionPerCredit</f>
        <v>3.6488190028812177E+19</v>
      </c>
      <c r="D630" s="4">
        <f>SimRevY1*(1+SimGrowth)^628</f>
        <v>4.9382865149332445E+30</v>
      </c>
      <c r="E630" s="4">
        <f>FacDevRevY1*(1+FacDevGrowth)^628</f>
        <v>2.4691432574666223E+30</v>
      </c>
      <c r="F630" s="4">
        <f t="shared" si="36"/>
        <v>7.4074297724363549E+30</v>
      </c>
      <c r="G630" s="4">
        <f t="shared" si="37"/>
        <v>7.4074297724421927E+30</v>
      </c>
      <c r="H630" s="4">
        <f>SalaryFTECount*SalaryPerFTE*(1+SalaryGrowth)^628</f>
        <v>1.04509645443867E+16</v>
      </c>
      <c r="I630" s="4">
        <f>SimOpsY1*(1+SimOpsGrowth)^628</f>
        <v>2.9325113421585663E+25</v>
      </c>
      <c r="J630" s="4">
        <f>TrainDevY1*(1+TrainDevGrowth)^628</f>
        <v>1.4662556710792831E+25</v>
      </c>
      <c r="K630" s="4">
        <f>AdminY1*(1+AdminGrowth)^628</f>
        <v>1.5599597107911888E+20</v>
      </c>
      <c r="L630" s="4">
        <f t="shared" si="38"/>
        <v>4.3987826138800538E+25</v>
      </c>
      <c r="M630" s="4">
        <f t="shared" si="39"/>
        <v>7.4073857846160539E+30</v>
      </c>
    </row>
    <row r="631" spans="1:13" x14ac:dyDescent="0.2">
      <c r="A631" s="3">
        <f>StartYear+629</f>
        <v>2654</v>
      </c>
      <c r="B631" s="4">
        <f>FacultyFTE*HoursPerWeek*WeeksPerYear*RatePerHour*(1+PracticeGrowth)^629</f>
        <v>6.1300159248404449E+18</v>
      </c>
      <c r="C631" s="4">
        <f>StudentsY1*(1+StudentGrowth)^629*CreditsPerStudent*TuitionPerCredit</f>
        <v>3.831259953025278E+19</v>
      </c>
      <c r="D631" s="4">
        <f>SimRevY1*(1+SimGrowth)^629</f>
        <v>5.4321151664265692E+30</v>
      </c>
      <c r="E631" s="4">
        <f>FacDevRevY1*(1+FacDevGrowth)^629</f>
        <v>2.7160575832132846E+30</v>
      </c>
      <c r="F631" s="4">
        <f t="shared" si="36"/>
        <v>8.1481727496781665E+30</v>
      </c>
      <c r="G631" s="4">
        <f t="shared" si="37"/>
        <v>8.148172749684297E+30</v>
      </c>
      <c r="H631" s="4">
        <f>SalaryFTECount*SalaryPerFTE*(1+SalaryGrowth)^629</f>
        <v>1.0869003126162172E+16</v>
      </c>
      <c r="I631" s="4">
        <f>SimOpsY1*(1+SimOpsGrowth)^629</f>
        <v>3.1671122495312517E+25</v>
      </c>
      <c r="J631" s="4">
        <f>TrainDevY1*(1+TrainDevGrowth)^629</f>
        <v>1.5835561247656259E+25</v>
      </c>
      <c r="K631" s="4">
        <f>AdminY1*(1+AdminGrowth)^629</f>
        <v>1.6535572934386604E+20</v>
      </c>
      <c r="L631" s="4">
        <f t="shared" si="38"/>
        <v>4.7506849109567121E+25</v>
      </c>
      <c r="M631" s="4">
        <f t="shared" si="39"/>
        <v>8.1481252428351875E+30</v>
      </c>
    </row>
    <row r="632" spans="1:13" x14ac:dyDescent="0.2">
      <c r="A632" s="3">
        <f>StartYear+630</f>
        <v>2655</v>
      </c>
      <c r="B632" s="4">
        <f>FacultyFTE*HoursPerWeek*WeeksPerYear*RatePerHour*(1+PracticeGrowth)^630</f>
        <v>6.4365167210824663E+18</v>
      </c>
      <c r="C632" s="4">
        <f>StudentsY1*(1+StudentGrowth)^630*CreditsPerStudent*TuitionPerCredit</f>
        <v>4.0228229506765414E+19</v>
      </c>
      <c r="D632" s="4">
        <f>SimRevY1*(1+SimGrowth)^630</f>
        <v>5.9753266830692269E+30</v>
      </c>
      <c r="E632" s="4">
        <f>FacDevRevY1*(1+FacDevGrowth)^630</f>
        <v>2.9876633415346135E+30</v>
      </c>
      <c r="F632" s="4">
        <f t="shared" si="36"/>
        <v>8.9629900246440693E+30</v>
      </c>
      <c r="G632" s="4">
        <f t="shared" si="37"/>
        <v>8.9629900246505061E+30</v>
      </c>
      <c r="H632" s="4">
        <f>SalaryFTECount*SalaryPerFTE*(1+SalaryGrowth)^630</f>
        <v>1.1303763251208658E+16</v>
      </c>
      <c r="I632" s="4">
        <f>SimOpsY1*(1+SimOpsGrowth)^630</f>
        <v>3.4204812294937523E+25</v>
      </c>
      <c r="J632" s="4">
        <f>TrainDevY1*(1+TrainDevGrowth)^630</f>
        <v>1.7102406147468761E+25</v>
      </c>
      <c r="K632" s="4">
        <f>AdminY1*(1+AdminGrowth)^630</f>
        <v>1.7527707310449803E+20</v>
      </c>
      <c r="L632" s="4">
        <f t="shared" si="38"/>
        <v>5.1307393730783149E+25</v>
      </c>
      <c r="M632" s="4">
        <f t="shared" si="39"/>
        <v>8.962938717256775E+30</v>
      </c>
    </row>
    <row r="633" spans="1:13" x14ac:dyDescent="0.2">
      <c r="A633" s="3">
        <f>StartYear+631</f>
        <v>2656</v>
      </c>
      <c r="B633" s="4">
        <f>FacultyFTE*HoursPerWeek*WeeksPerYear*RatePerHour*(1+PracticeGrowth)^631</f>
        <v>6.7583425571365919E+18</v>
      </c>
      <c r="C633" s="4">
        <f>StudentsY1*(1+StudentGrowth)^631*CreditsPerStudent*TuitionPerCredit</f>
        <v>4.2239640982103695E+19</v>
      </c>
      <c r="D633" s="4">
        <f>SimRevY1*(1+SimGrowth)^631</f>
        <v>6.5728593513761511E+30</v>
      </c>
      <c r="E633" s="4">
        <f>FacDevRevY1*(1+FacDevGrowth)^631</f>
        <v>3.2864296756880755E+30</v>
      </c>
      <c r="F633" s="4">
        <f t="shared" si="36"/>
        <v>9.8592890271064658E+30</v>
      </c>
      <c r="G633" s="4">
        <f t="shared" si="37"/>
        <v>9.8592890271132246E+30</v>
      </c>
      <c r="H633" s="4">
        <f>SalaryFTECount*SalaryPerFTE*(1+SalaryGrowth)^631</f>
        <v>1.1755913781257002E+16</v>
      </c>
      <c r="I633" s="4">
        <f>SimOpsY1*(1+SimOpsGrowth)^631</f>
        <v>3.6941197278532526E+25</v>
      </c>
      <c r="J633" s="4">
        <f>TrainDevY1*(1+TrainDevGrowth)^631</f>
        <v>1.8470598639266263E+25</v>
      </c>
      <c r="K633" s="4">
        <f>AdminY1*(1+AdminGrowth)^631</f>
        <v>1.857936974907679E+20</v>
      </c>
      <c r="L633" s="4">
        <f t="shared" si="38"/>
        <v>5.5411981723252193E+25</v>
      </c>
      <c r="M633" s="4">
        <f t="shared" si="39"/>
        <v>9.8592336151315018E+30</v>
      </c>
    </row>
    <row r="634" spans="1:13" x14ac:dyDescent="0.2">
      <c r="A634" s="3">
        <f>StartYear+632</f>
        <v>2657</v>
      </c>
      <c r="B634" s="4">
        <f>FacultyFTE*HoursPerWeek*WeeksPerYear*RatePerHour*(1+PracticeGrowth)^632</f>
        <v>7.0962596849934213E+18</v>
      </c>
      <c r="C634" s="4">
        <f>StudentsY1*(1+StudentGrowth)^632*CreditsPerStudent*TuitionPerCredit</f>
        <v>4.4351623031208886E+19</v>
      </c>
      <c r="D634" s="4">
        <f>SimRevY1*(1+SimGrowth)^632</f>
        <v>7.2301452865137639E+30</v>
      </c>
      <c r="E634" s="4">
        <f>FacDevRevY1*(1+FacDevGrowth)^632</f>
        <v>3.615072643256882E+30</v>
      </c>
      <c r="F634" s="4">
        <f t="shared" si="36"/>
        <v>1.0845217929814997E+31</v>
      </c>
      <c r="G634" s="4">
        <f t="shared" si="37"/>
        <v>1.0845217929822093E+31</v>
      </c>
      <c r="H634" s="4">
        <f>SalaryFTECount*SalaryPerFTE*(1+SalaryGrowth)^632</f>
        <v>1.2226150332507284E+16</v>
      </c>
      <c r="I634" s="4">
        <f>SimOpsY1*(1+SimOpsGrowth)^632</f>
        <v>3.989649306081513E+25</v>
      </c>
      <c r="J634" s="4">
        <f>TrainDevY1*(1+TrainDevGrowth)^632</f>
        <v>1.9948246530407565E+25</v>
      </c>
      <c r="K634" s="4">
        <f>AdminY1*(1+AdminGrowth)^632</f>
        <v>1.9694131934021396E+20</v>
      </c>
      <c r="L634" s="4">
        <f t="shared" si="38"/>
        <v>5.984493654476818E+25</v>
      </c>
      <c r="M634" s="4">
        <f t="shared" si="39"/>
        <v>1.0845158084885547E+31</v>
      </c>
    </row>
    <row r="635" spans="1:13" x14ac:dyDescent="0.2">
      <c r="A635" s="3">
        <f>StartYear+633</f>
        <v>2658</v>
      </c>
      <c r="B635" s="4">
        <f>FacultyFTE*HoursPerWeek*WeeksPerYear*RatePerHour*(1+PracticeGrowth)^633</f>
        <v>7.451072669243093E+18</v>
      </c>
      <c r="C635" s="4">
        <f>StudentsY1*(1+StudentGrowth)^633*CreditsPerStudent*TuitionPerCredit</f>
        <v>4.6569204182769328E+19</v>
      </c>
      <c r="D635" s="4">
        <f>SimRevY1*(1+SimGrowth)^633</f>
        <v>7.9531598151651421E+30</v>
      </c>
      <c r="E635" s="4">
        <f>FacDevRevY1*(1+FacDevGrowth)^633</f>
        <v>3.9765799075825711E+30</v>
      </c>
      <c r="F635" s="4">
        <f t="shared" si="36"/>
        <v>1.1929739722794283E+31</v>
      </c>
      <c r="G635" s="4">
        <f t="shared" si="37"/>
        <v>1.1929739722801734E+31</v>
      </c>
      <c r="H635" s="4">
        <f>SalaryFTECount*SalaryPerFTE*(1+SalaryGrowth)^633</f>
        <v>1.2715196345807578E+16</v>
      </c>
      <c r="I635" s="4">
        <f>SimOpsY1*(1+SimOpsGrowth)^633</f>
        <v>4.3088212505680348E+25</v>
      </c>
      <c r="J635" s="4">
        <f>TrainDevY1*(1+TrainDevGrowth)^633</f>
        <v>2.1544106252840174E+25</v>
      </c>
      <c r="K635" s="4">
        <f>AdminY1*(1+AdminGrowth)^633</f>
        <v>2.0875779850062679E+20</v>
      </c>
      <c r="L635" s="4">
        <f t="shared" si="38"/>
        <v>6.4632527529034214E+25</v>
      </c>
      <c r="M635" s="4">
        <f t="shared" si="39"/>
        <v>1.1929675090274205E+31</v>
      </c>
    </row>
    <row r="636" spans="1:13" x14ac:dyDescent="0.2">
      <c r="A636" s="3">
        <f>StartYear+634</f>
        <v>2659</v>
      </c>
      <c r="B636" s="4">
        <f>FacultyFTE*HoursPerWeek*WeeksPerYear*RatePerHour*(1+PracticeGrowth)^634</f>
        <v>7.8236263027052472E+18</v>
      </c>
      <c r="C636" s="4">
        <f>StudentsY1*(1+StudentGrowth)^634*CreditsPerStudent*TuitionPerCredit</f>
        <v>4.8897664391907795E+19</v>
      </c>
      <c r="D636" s="4">
        <f>SimRevY1*(1+SimGrowth)^634</f>
        <v>8.7484757966816568E+30</v>
      </c>
      <c r="E636" s="4">
        <f>FacDevRevY1*(1+FacDevGrowth)^634</f>
        <v>4.3742378983408284E+30</v>
      </c>
      <c r="F636" s="4">
        <f t="shared" si="36"/>
        <v>1.3122713695071383E+31</v>
      </c>
      <c r="G636" s="4">
        <f t="shared" si="37"/>
        <v>1.3122713695079206E+31</v>
      </c>
      <c r="H636" s="4">
        <f>SalaryFTECount*SalaryPerFTE*(1+SalaryGrowth)^634</f>
        <v>1.3223804199639878E+16</v>
      </c>
      <c r="I636" s="4">
        <f>SimOpsY1*(1+SimOpsGrowth)^634</f>
        <v>4.6535269506134777E+25</v>
      </c>
      <c r="J636" s="4">
        <f>TrainDevY1*(1+TrainDevGrowth)^634</f>
        <v>2.3267634753067389E+25</v>
      </c>
      <c r="K636" s="4">
        <f>AdminY1*(1+AdminGrowth)^634</f>
        <v>2.2128326641066443E+20</v>
      </c>
      <c r="L636" s="4">
        <f t="shared" si="38"/>
        <v>6.9803125555692376E+25</v>
      </c>
      <c r="M636" s="4">
        <f t="shared" si="39"/>
        <v>1.312264389195365E+31</v>
      </c>
    </row>
    <row r="637" spans="1:13" x14ac:dyDescent="0.2">
      <c r="A637" s="3">
        <f>StartYear+635</f>
        <v>2660</v>
      </c>
      <c r="B637" s="4">
        <f>FacultyFTE*HoursPerWeek*WeeksPerYear*RatePerHour*(1+PracticeGrowth)^635</f>
        <v>8.21480761784051E+18</v>
      </c>
      <c r="C637" s="4">
        <f>StudentsY1*(1+StudentGrowth)^635*CreditsPerStudent*TuitionPerCredit</f>
        <v>5.1342547611503182E+19</v>
      </c>
      <c r="D637" s="4">
        <f>SimRevY1*(1+SimGrowth)^635</f>
        <v>9.6233233763498249E+30</v>
      </c>
      <c r="E637" s="4">
        <f>FacDevRevY1*(1+FacDevGrowth)^635</f>
        <v>4.8116616881749125E+30</v>
      </c>
      <c r="F637" s="4">
        <f t="shared" si="36"/>
        <v>1.4434985064576079E+31</v>
      </c>
      <c r="G637" s="4">
        <f t="shared" si="37"/>
        <v>1.4434985064584294E+31</v>
      </c>
      <c r="H637" s="4">
        <f>SalaryFTECount*SalaryPerFTE*(1+SalaryGrowth)^635</f>
        <v>1.3752756367625474E+16</v>
      </c>
      <c r="I637" s="4">
        <f>SimOpsY1*(1+SimOpsGrowth)^635</f>
        <v>5.025809106662555E+25</v>
      </c>
      <c r="J637" s="4">
        <f>TrainDevY1*(1+TrainDevGrowth)^635</f>
        <v>2.5129045533312775E+25</v>
      </c>
      <c r="K637" s="4">
        <f>AdminY1*(1+AdminGrowth)^635</f>
        <v>2.3456026239530431E+20</v>
      </c>
      <c r="L637" s="4">
        <f t="shared" si="38"/>
        <v>7.538737117395348E+25</v>
      </c>
      <c r="M637" s="4">
        <f t="shared" si="39"/>
        <v>1.443490967721312E+31</v>
      </c>
    </row>
    <row r="638" spans="1:13" x14ac:dyDescent="0.2">
      <c r="A638" s="3">
        <f>StartYear+636</f>
        <v>2661</v>
      </c>
      <c r="B638" s="4">
        <f>FacultyFTE*HoursPerWeek*WeeksPerYear*RatePerHour*(1+PracticeGrowth)^636</f>
        <v>8.6255479987325348E+18</v>
      </c>
      <c r="C638" s="4">
        <f>StudentsY1*(1+StudentGrowth)^636*CreditsPerStudent*TuitionPerCredit</f>
        <v>5.3909674992078348E+19</v>
      </c>
      <c r="D638" s="4">
        <f>SimRevY1*(1+SimGrowth)^636</f>
        <v>1.0585655713984804E+31</v>
      </c>
      <c r="E638" s="4">
        <f>FacDevRevY1*(1+FacDevGrowth)^636</f>
        <v>5.292827856992402E+30</v>
      </c>
      <c r="F638" s="4">
        <f t="shared" si="36"/>
        <v>1.5878483571031116E+31</v>
      </c>
      <c r="G638" s="4">
        <f t="shared" si="37"/>
        <v>1.5878483571039743E+31</v>
      </c>
      <c r="H638" s="4">
        <f>SalaryFTECount*SalaryPerFTE*(1+SalaryGrowth)^636</f>
        <v>1.4302866622330496E+16</v>
      </c>
      <c r="I638" s="4">
        <f>SimOpsY1*(1+SimOpsGrowth)^636</f>
        <v>5.4278738351955604E+25</v>
      </c>
      <c r="J638" s="4">
        <f>TrainDevY1*(1+TrainDevGrowth)^636</f>
        <v>2.7139369175977802E+25</v>
      </c>
      <c r="K638" s="4">
        <f>AdminY1*(1+AdminGrowth)^636</f>
        <v>2.4863387813902257E+20</v>
      </c>
      <c r="L638" s="4">
        <f t="shared" si="38"/>
        <v>8.1418356176114403E+25</v>
      </c>
      <c r="M638" s="4">
        <f t="shared" si="39"/>
        <v>1.5878402152683566E+31</v>
      </c>
    </row>
    <row r="639" spans="1:13" x14ac:dyDescent="0.2">
      <c r="A639" s="3">
        <f>StartYear+637</f>
        <v>2662</v>
      </c>
      <c r="B639" s="4">
        <f>FacultyFTE*HoursPerWeek*WeeksPerYear*RatePerHour*(1+PracticeGrowth)^637</f>
        <v>9.0568253986691625E+18</v>
      </c>
      <c r="C639" s="4">
        <f>StudentsY1*(1+StudentGrowth)^637*CreditsPerStudent*TuitionPerCredit</f>
        <v>5.6605158741682274E+19</v>
      </c>
      <c r="D639" s="4">
        <f>SimRevY1*(1+SimGrowth)^637</f>
        <v>1.1644221285383288E+31</v>
      </c>
      <c r="E639" s="4">
        <f>FacDevRevY1*(1+FacDevGrowth)^637</f>
        <v>5.8221106426916442E+30</v>
      </c>
      <c r="F639" s="4">
        <f t="shared" si="36"/>
        <v>1.7466331928131539E+31</v>
      </c>
      <c r="G639" s="4">
        <f t="shared" si="37"/>
        <v>1.7466331928140596E+31</v>
      </c>
      <c r="H639" s="4">
        <f>SalaryFTECount*SalaryPerFTE*(1+SalaryGrowth)^637</f>
        <v>1.4874981287223718E+16</v>
      </c>
      <c r="I639" s="4">
        <f>SimOpsY1*(1+SimOpsGrowth)^637</f>
        <v>5.8621037420112051E+25</v>
      </c>
      <c r="J639" s="4">
        <f>TrainDevY1*(1+TrainDevGrowth)^637</f>
        <v>2.9310518710056026E+25</v>
      </c>
      <c r="K639" s="4">
        <f>AdminY1*(1+AdminGrowth)^637</f>
        <v>2.6355191082736399E+20</v>
      </c>
      <c r="L639" s="4">
        <f t="shared" si="38"/>
        <v>8.79318196969539E+25</v>
      </c>
      <c r="M639" s="4">
        <f t="shared" si="39"/>
        <v>1.7466243996320899E+31</v>
      </c>
    </row>
    <row r="640" spans="1:13" x14ac:dyDescent="0.2">
      <c r="A640" s="3">
        <f>StartYear+638</f>
        <v>2663</v>
      </c>
      <c r="B640" s="4">
        <f>FacultyFTE*HoursPerWeek*WeeksPerYear*RatePerHour*(1+PracticeGrowth)^638</f>
        <v>9.5096666686026158E+18</v>
      </c>
      <c r="C640" s="4">
        <f>StudentsY1*(1+StudentGrowth)^638*CreditsPerStudent*TuitionPerCredit</f>
        <v>5.9435416678766354E+19</v>
      </c>
      <c r="D640" s="4">
        <f>SimRevY1*(1+SimGrowth)^638</f>
        <v>1.2808643413921621E+31</v>
      </c>
      <c r="E640" s="4">
        <f>FacDevRevY1*(1+FacDevGrowth)^638</f>
        <v>6.4043217069608103E+30</v>
      </c>
      <c r="F640" s="4">
        <f t="shared" si="36"/>
        <v>1.9212965120941866E+31</v>
      </c>
      <c r="G640" s="4">
        <f t="shared" si="37"/>
        <v>1.9212965120951375E+31</v>
      </c>
      <c r="H640" s="4">
        <f>SalaryFTECount*SalaryPerFTE*(1+SalaryGrowth)^638</f>
        <v>1.5469980538712664E+16</v>
      </c>
      <c r="I640" s="4">
        <f>SimOpsY1*(1+SimOpsGrowth)^638</f>
        <v>6.3310720413721027E+25</v>
      </c>
      <c r="J640" s="4">
        <f>TrainDevY1*(1+TrainDevGrowth)^638</f>
        <v>3.1655360206860513E+25</v>
      </c>
      <c r="K640" s="4">
        <f>AdminY1*(1+AdminGrowth)^638</f>
        <v>2.7936502547700584E+20</v>
      </c>
      <c r="L640" s="4">
        <f t="shared" si="38"/>
        <v>9.4966360001076995E+25</v>
      </c>
      <c r="M640" s="4">
        <f t="shared" si="39"/>
        <v>1.9212870154591375E+31</v>
      </c>
    </row>
    <row r="641" spans="1:13" x14ac:dyDescent="0.2">
      <c r="A641" s="3">
        <f>StartYear+639</f>
        <v>2664</v>
      </c>
      <c r="B641" s="4">
        <f>FacultyFTE*HoursPerWeek*WeeksPerYear*RatePerHour*(1+PracticeGrowth)^639</f>
        <v>9.9851500020327526E+18</v>
      </c>
      <c r="C641" s="4">
        <f>StudentsY1*(1+StudentGrowth)^639*CreditsPerStudent*TuitionPerCredit</f>
        <v>6.2407187512704705E+19</v>
      </c>
      <c r="D641" s="4">
        <f>SimRevY1*(1+SimGrowth)^639</f>
        <v>1.408950775531378E+31</v>
      </c>
      <c r="E641" s="4">
        <f>FacDevRevY1*(1+FacDevGrowth)^639</f>
        <v>7.0447538776568901E+30</v>
      </c>
      <c r="F641" s="4">
        <f t="shared" si="36"/>
        <v>2.1134261633033074E+31</v>
      </c>
      <c r="G641" s="4">
        <f t="shared" si="37"/>
        <v>2.1134261633043059E+31</v>
      </c>
      <c r="H641" s="4">
        <f>SalaryFTECount*SalaryPerFTE*(1+SalaryGrowth)^639</f>
        <v>1.608877976026117E+16</v>
      </c>
      <c r="I641" s="4">
        <f>SimOpsY1*(1+SimOpsGrowth)^639</f>
        <v>6.8375578046818718E+25</v>
      </c>
      <c r="J641" s="4">
        <f>TrainDevY1*(1+TrainDevGrowth)^639</f>
        <v>3.4187789023409359E+25</v>
      </c>
      <c r="K641" s="4">
        <f>AdminY1*(1+AdminGrowth)^639</f>
        <v>2.9612692700562627E+20</v>
      </c>
      <c r="L641" s="4">
        <f t="shared" si="38"/>
        <v>1.0256366321324385E+26</v>
      </c>
      <c r="M641" s="4">
        <f t="shared" si="39"/>
        <v>2.1134159069379845E+31</v>
      </c>
    </row>
    <row r="642" spans="1:13" x14ac:dyDescent="0.2">
      <c r="A642" s="3">
        <f>StartYear+640</f>
        <v>2665</v>
      </c>
      <c r="B642" s="4">
        <f>FacultyFTE*HoursPerWeek*WeeksPerYear*RatePerHour*(1+PracticeGrowth)^640</f>
        <v>1.0484407502134389E+19</v>
      </c>
      <c r="C642" s="4">
        <f>StudentsY1*(1+StudentGrowth)^640*CreditsPerStudent*TuitionPerCredit</f>
        <v>6.5527546888339931E+19</v>
      </c>
      <c r="D642" s="4">
        <f>SimRevY1*(1+SimGrowth)^640</f>
        <v>1.5498458530845159E+31</v>
      </c>
      <c r="E642" s="4">
        <f>FacDevRevY1*(1+FacDevGrowth)^640</f>
        <v>7.7492292654225795E+30</v>
      </c>
      <c r="F642" s="4">
        <f t="shared" ref="F642:F705" si="40">C642+D642+E642</f>
        <v>2.3247687796333267E+31</v>
      </c>
      <c r="G642" s="4">
        <f t="shared" ref="G642:G705" si="41">B642+F642</f>
        <v>2.3247687796343751E+31</v>
      </c>
      <c r="H642" s="4">
        <f>SalaryFTECount*SalaryPerFTE*(1+SalaryGrowth)^640</f>
        <v>1.673233095067162E+16</v>
      </c>
      <c r="I642" s="4">
        <f>SimOpsY1*(1+SimOpsGrowth)^640</f>
        <v>7.3845624290564224E+25</v>
      </c>
      <c r="J642" s="4">
        <f>TrainDevY1*(1+TrainDevGrowth)^640</f>
        <v>3.6922812145282112E+25</v>
      </c>
      <c r="K642" s="4">
        <f>AdminY1*(1+AdminGrowth)^640</f>
        <v>3.138945426259637E+20</v>
      </c>
      <c r="L642" s="4">
        <f t="shared" ref="L642:L705" si="42">SUM(H642:K642)</f>
        <v>1.107687503471213E+26</v>
      </c>
      <c r="M642" s="4">
        <f t="shared" ref="M642:M705" si="43">G642-L642</f>
        <v>2.3247577027593404E+31</v>
      </c>
    </row>
    <row r="643" spans="1:13" x14ac:dyDescent="0.2">
      <c r="A643" s="3">
        <f>StartYear+641</f>
        <v>2666</v>
      </c>
      <c r="B643" s="4">
        <f>FacultyFTE*HoursPerWeek*WeeksPerYear*RatePerHour*(1+PracticeGrowth)^641</f>
        <v>1.1008627877241111E+19</v>
      </c>
      <c r="C643" s="4">
        <f>StudentsY1*(1+StudentGrowth)^641*CreditsPerStudent*TuitionPerCredit</f>
        <v>6.8803924232756945E+19</v>
      </c>
      <c r="D643" s="4">
        <f>SimRevY1*(1+SimGrowth)^641</f>
        <v>1.7048304383929675E+31</v>
      </c>
      <c r="E643" s="4">
        <f>FacDevRevY1*(1+FacDevGrowth)^641</f>
        <v>8.5241521919648376E+30</v>
      </c>
      <c r="F643" s="4">
        <f t="shared" si="40"/>
        <v>2.5572456575963319E+31</v>
      </c>
      <c r="G643" s="4">
        <f t="shared" si="41"/>
        <v>2.5572456575974326E+31</v>
      </c>
      <c r="H643" s="4">
        <f>SalaryFTECount*SalaryPerFTE*(1+SalaryGrowth)^641</f>
        <v>1.7401624188698488E+16</v>
      </c>
      <c r="I643" s="4">
        <f>SimOpsY1*(1+SimOpsGrowth)^641</f>
        <v>7.9753274233809371E+25</v>
      </c>
      <c r="J643" s="4">
        <f>TrainDevY1*(1+TrainDevGrowth)^641</f>
        <v>3.9876637116904685E+25</v>
      </c>
      <c r="K643" s="4">
        <f>AdminY1*(1+AdminGrowth)^641</f>
        <v>3.3272821518352161E+20</v>
      </c>
      <c r="L643" s="4">
        <f t="shared" si="42"/>
        <v>1.1963024409633088E+26</v>
      </c>
      <c r="M643" s="4">
        <f t="shared" si="43"/>
        <v>2.5572336945730231E+31</v>
      </c>
    </row>
    <row r="644" spans="1:13" x14ac:dyDescent="0.2">
      <c r="A644" s="3">
        <f>StartYear+642</f>
        <v>2667</v>
      </c>
      <c r="B644" s="4">
        <f>FacultyFTE*HoursPerWeek*WeeksPerYear*RatePerHour*(1+PracticeGrowth)^642</f>
        <v>1.1559059271103164E+19</v>
      </c>
      <c r="C644" s="4">
        <f>StudentsY1*(1+StudentGrowth)^642*CreditsPerStudent*TuitionPerCredit</f>
        <v>7.2244120444394775E+19</v>
      </c>
      <c r="D644" s="4">
        <f>SimRevY1*(1+SimGrowth)^642</f>
        <v>1.8753134822322641E+31</v>
      </c>
      <c r="E644" s="4">
        <f>FacDevRevY1*(1+FacDevGrowth)^642</f>
        <v>9.3765674111613205E+30</v>
      </c>
      <c r="F644" s="4">
        <f t="shared" si="40"/>
        <v>2.8129702233556204E+31</v>
      </c>
      <c r="G644" s="4">
        <f t="shared" si="41"/>
        <v>2.8129702233567764E+31</v>
      </c>
      <c r="H644" s="4">
        <f>SalaryFTECount*SalaryPerFTE*(1+SalaryGrowth)^642</f>
        <v>1.8097689156246428E+16</v>
      </c>
      <c r="I644" s="4">
        <f>SimOpsY1*(1+SimOpsGrowth)^642</f>
        <v>8.6133536172514116E+25</v>
      </c>
      <c r="J644" s="4">
        <f>TrainDevY1*(1+TrainDevGrowth)^642</f>
        <v>4.3066768086257058E+25</v>
      </c>
      <c r="K644" s="4">
        <f>AdminY1*(1+AdminGrowth)^642</f>
        <v>3.5269190809453291E+20</v>
      </c>
      <c r="L644" s="4">
        <f t="shared" si="42"/>
        <v>1.2920065696877696E+26</v>
      </c>
      <c r="M644" s="4">
        <f t="shared" si="43"/>
        <v>2.8129573032910794E+31</v>
      </c>
    </row>
    <row r="645" spans="1:13" x14ac:dyDescent="0.2">
      <c r="A645" s="3">
        <f>StartYear+643</f>
        <v>2668</v>
      </c>
      <c r="B645" s="4">
        <f>FacultyFTE*HoursPerWeek*WeeksPerYear*RatePerHour*(1+PracticeGrowth)^643</f>
        <v>1.2137012234658324E+19</v>
      </c>
      <c r="C645" s="4">
        <f>StudentsY1*(1+StudentGrowth)^643*CreditsPerStudent*TuitionPerCredit</f>
        <v>7.5856326466614526E+19</v>
      </c>
      <c r="D645" s="4">
        <f>SimRevY1*(1+SimGrowth)^643</f>
        <v>2.0628448304554915E+31</v>
      </c>
      <c r="E645" s="4">
        <f>FacDevRevY1*(1+FacDevGrowth)^643</f>
        <v>1.0314224152277457E+31</v>
      </c>
      <c r="F645" s="4">
        <f t="shared" si="40"/>
        <v>3.0942672456908227E+31</v>
      </c>
      <c r="G645" s="4">
        <f t="shared" si="41"/>
        <v>3.0942672456920364E+31</v>
      </c>
      <c r="H645" s="4">
        <f>SalaryFTECount*SalaryPerFTE*(1+SalaryGrowth)^643</f>
        <v>1.8821596722496284E+16</v>
      </c>
      <c r="I645" s="4">
        <f>SimOpsY1*(1+SimOpsGrowth)^643</f>
        <v>9.3024219066315238E+25</v>
      </c>
      <c r="J645" s="4">
        <f>TrainDevY1*(1+TrainDevGrowth)^643</f>
        <v>4.6512109533157619E+25</v>
      </c>
      <c r="K645" s="4">
        <f>AdminY1*(1+AdminGrowth)^643</f>
        <v>3.7385342258020496E+20</v>
      </c>
      <c r="L645" s="4">
        <f t="shared" si="42"/>
        <v>1.3953670247171704E+26</v>
      </c>
      <c r="M645" s="4">
        <f t="shared" si="43"/>
        <v>3.0942532920217891E+31</v>
      </c>
    </row>
    <row r="646" spans="1:13" x14ac:dyDescent="0.2">
      <c r="A646" s="3">
        <f>StartYear+644</f>
        <v>2669</v>
      </c>
      <c r="B646" s="4">
        <f>FacultyFTE*HoursPerWeek*WeeksPerYear*RatePerHour*(1+PracticeGrowth)^644</f>
        <v>1.2743862846391241E+19</v>
      </c>
      <c r="C646" s="4">
        <f>StudentsY1*(1+StudentGrowth)^644*CreditsPerStudent*TuitionPerCredit</f>
        <v>7.9649142789945246E+19</v>
      </c>
      <c r="D646" s="4">
        <f>SimRevY1*(1+SimGrowth)^644</f>
        <v>2.2691293135010403E+31</v>
      </c>
      <c r="E646" s="4">
        <f>FacDevRevY1*(1+FacDevGrowth)^644</f>
        <v>1.1345646567505201E+31</v>
      </c>
      <c r="F646" s="4">
        <f t="shared" si="40"/>
        <v>3.4036939702595255E+31</v>
      </c>
      <c r="G646" s="4">
        <f t="shared" si="41"/>
        <v>3.4036939702608E+31</v>
      </c>
      <c r="H646" s="4">
        <f>SalaryFTECount*SalaryPerFTE*(1+SalaryGrowth)^644</f>
        <v>1.9574460591396136E+16</v>
      </c>
      <c r="I646" s="4">
        <f>SimOpsY1*(1+SimOpsGrowth)^644</f>
        <v>1.0046615659162047E+26</v>
      </c>
      <c r="J646" s="4">
        <f>TrainDevY1*(1+TrainDevGrowth)^644</f>
        <v>5.0233078295810237E+25</v>
      </c>
      <c r="K646" s="4">
        <f>AdminY1*(1+AdminGrowth)^644</f>
        <v>3.9628462793501717E+20</v>
      </c>
      <c r="L646" s="4">
        <f t="shared" si="42"/>
        <v>1.5069963119163311E+26</v>
      </c>
      <c r="M646" s="4">
        <f t="shared" si="43"/>
        <v>3.403678900297681E+31</v>
      </c>
    </row>
    <row r="647" spans="1:13" x14ac:dyDescent="0.2">
      <c r="A647" s="3">
        <f>StartYear+645</f>
        <v>2670</v>
      </c>
      <c r="B647" s="4">
        <f>FacultyFTE*HoursPerWeek*WeeksPerYear*RatePerHour*(1+PracticeGrowth)^645</f>
        <v>1.3381055988710803E+19</v>
      </c>
      <c r="C647" s="4">
        <f>StudentsY1*(1+StudentGrowth)^645*CreditsPerStudent*TuitionPerCredit</f>
        <v>8.3631599929442517E+19</v>
      </c>
      <c r="D647" s="4">
        <f>SimRevY1*(1+SimGrowth)^645</f>
        <v>2.4960422448511443E+31</v>
      </c>
      <c r="E647" s="4">
        <f>FacDevRevY1*(1+FacDevGrowth)^645</f>
        <v>1.2480211224255722E+31</v>
      </c>
      <c r="F647" s="4">
        <f t="shared" si="40"/>
        <v>3.7440633672850796E+31</v>
      </c>
      <c r="G647" s="4">
        <f t="shared" si="41"/>
        <v>3.7440633672864177E+31</v>
      </c>
      <c r="H647" s="4">
        <f>SalaryFTECount*SalaryPerFTE*(1+SalaryGrowth)^645</f>
        <v>2.0357439015051984E+16</v>
      </c>
      <c r="I647" s="4">
        <f>SimOpsY1*(1+SimOpsGrowth)^645</f>
        <v>1.0850344911895013E+26</v>
      </c>
      <c r="J647" s="4">
        <f>TrainDevY1*(1+TrainDevGrowth)^645</f>
        <v>5.4251724559475064E+25</v>
      </c>
      <c r="K647" s="4">
        <f>AdminY1*(1+AdminGrowth)^645</f>
        <v>4.2006170561111825E+20</v>
      </c>
      <c r="L647" s="4">
        <f t="shared" si="42"/>
        <v>1.6275559376048822E+26</v>
      </c>
      <c r="M647" s="4">
        <f t="shared" si="43"/>
        <v>3.7440470917270416E+31</v>
      </c>
    </row>
    <row r="648" spans="1:13" x14ac:dyDescent="0.2">
      <c r="A648" s="3">
        <f>StartYear+646</f>
        <v>2671</v>
      </c>
      <c r="B648" s="4">
        <f>FacultyFTE*HoursPerWeek*WeeksPerYear*RatePerHour*(1+PracticeGrowth)^646</f>
        <v>1.405010878814634E+19</v>
      </c>
      <c r="C648" s="4">
        <f>StudentsY1*(1+StudentGrowth)^646*CreditsPerStudent*TuitionPerCredit</f>
        <v>8.7813179925914632E+19</v>
      </c>
      <c r="D648" s="4">
        <f>SimRevY1*(1+SimGrowth)^646</f>
        <v>2.7456464693362594E+31</v>
      </c>
      <c r="E648" s="4">
        <f>FacDevRevY1*(1+FacDevGrowth)^646</f>
        <v>1.3728232346681297E+31</v>
      </c>
      <c r="F648" s="4">
        <f t="shared" si="40"/>
        <v>4.1184697040131702E+31</v>
      </c>
      <c r="G648" s="4">
        <f t="shared" si="41"/>
        <v>4.1184697040145753E+31</v>
      </c>
      <c r="H648" s="4">
        <f>SalaryFTECount*SalaryPerFTE*(1+SalaryGrowth)^646</f>
        <v>2.1171736575654068E+16</v>
      </c>
      <c r="I648" s="4">
        <f>SimOpsY1*(1+SimOpsGrowth)^646</f>
        <v>1.1718372504846614E+26</v>
      </c>
      <c r="J648" s="4">
        <f>TrainDevY1*(1+TrainDevGrowth)^646</f>
        <v>5.8591862524233069E+25</v>
      </c>
      <c r="K648" s="4">
        <f>AdminY1*(1+AdminGrowth)^646</f>
        <v>4.4526540794778544E+20</v>
      </c>
      <c r="L648" s="4">
        <f t="shared" si="42"/>
        <v>1.7577603285927888E+26</v>
      </c>
      <c r="M648" s="4">
        <f t="shared" si="43"/>
        <v>4.1184521264112892E+31</v>
      </c>
    </row>
    <row r="649" spans="1:13" x14ac:dyDescent="0.2">
      <c r="A649" s="3">
        <f>StartYear+647</f>
        <v>2672</v>
      </c>
      <c r="B649" s="4">
        <f>FacultyFTE*HoursPerWeek*WeeksPerYear*RatePerHour*(1+PracticeGrowth)^647</f>
        <v>1.4752614227553659E+19</v>
      </c>
      <c r="C649" s="4">
        <f>StudentsY1*(1+StudentGrowth)^647*CreditsPerStudent*TuitionPerCredit</f>
        <v>9.2203838922210378E+19</v>
      </c>
      <c r="D649" s="4">
        <f>SimRevY1*(1+SimGrowth)^647</f>
        <v>3.0202111162698854E+31</v>
      </c>
      <c r="E649" s="4">
        <f>FacDevRevY1*(1+FacDevGrowth)^647</f>
        <v>1.5101055581349427E+31</v>
      </c>
      <c r="F649" s="4">
        <f t="shared" si="40"/>
        <v>4.5303166744140481E+31</v>
      </c>
      <c r="G649" s="4">
        <f t="shared" si="41"/>
        <v>4.5303166744155235E+31</v>
      </c>
      <c r="H649" s="4">
        <f>SalaryFTECount*SalaryPerFTE*(1+SalaryGrowth)^647</f>
        <v>2.2018606038680224E+16</v>
      </c>
      <c r="I649" s="4">
        <f>SimOpsY1*(1+SimOpsGrowth)^647</f>
        <v>1.2655842305234343E+26</v>
      </c>
      <c r="J649" s="4">
        <f>TrainDevY1*(1+TrainDevGrowth)^647</f>
        <v>6.3279211526171714E+25</v>
      </c>
      <c r="K649" s="4">
        <f>AdminY1*(1+AdminGrowth)^647</f>
        <v>4.7198133242465255E+20</v>
      </c>
      <c r="L649" s="4">
        <f t="shared" si="42"/>
        <v>1.8983810658186618E+26</v>
      </c>
      <c r="M649" s="4">
        <f t="shared" si="43"/>
        <v>4.5302976906048651E+31</v>
      </c>
    </row>
    <row r="650" spans="1:13" x14ac:dyDescent="0.2">
      <c r="A650" s="3">
        <f>StartYear+648</f>
        <v>2673</v>
      </c>
      <c r="B650" s="4">
        <f>FacultyFTE*HoursPerWeek*WeeksPerYear*RatePerHour*(1+PracticeGrowth)^648</f>
        <v>1.5490244938931343E+19</v>
      </c>
      <c r="C650" s="4">
        <f>StudentsY1*(1+StudentGrowth)^648*CreditsPerStudent*TuitionPerCredit</f>
        <v>9.6814030868320895E+19</v>
      </c>
      <c r="D650" s="4">
        <f>SimRevY1*(1+SimGrowth)^648</f>
        <v>3.3222322278968737E+31</v>
      </c>
      <c r="E650" s="4">
        <f>FacDevRevY1*(1+FacDevGrowth)^648</f>
        <v>1.6611161139484369E+31</v>
      </c>
      <c r="F650" s="4">
        <f t="shared" si="40"/>
        <v>4.9833483418549922E+31</v>
      </c>
      <c r="G650" s="4">
        <f t="shared" si="41"/>
        <v>4.9833483418565414E+31</v>
      </c>
      <c r="H650" s="4">
        <f>SalaryFTECount*SalaryPerFTE*(1+SalaryGrowth)^648</f>
        <v>2.289935028022744E+16</v>
      </c>
      <c r="I650" s="4">
        <f>SimOpsY1*(1+SimOpsGrowth)^648</f>
        <v>1.366830968965309E+26</v>
      </c>
      <c r="J650" s="4">
        <f>TrainDevY1*(1+TrainDevGrowth)^648</f>
        <v>6.8341548448265451E+25</v>
      </c>
      <c r="K650" s="4">
        <f>AdminY1*(1+AdminGrowth)^648</f>
        <v>5.0030021237013165E+20</v>
      </c>
      <c r="L650" s="4">
        <f t="shared" si="42"/>
        <v>2.0502514566790807E+26</v>
      </c>
      <c r="M650" s="4">
        <f t="shared" si="43"/>
        <v>4.9833278393419744E+31</v>
      </c>
    </row>
    <row r="651" spans="1:13" x14ac:dyDescent="0.2">
      <c r="A651" s="3">
        <f>StartYear+649</f>
        <v>2674</v>
      </c>
      <c r="B651" s="4">
        <f>FacultyFTE*HoursPerWeek*WeeksPerYear*RatePerHour*(1+PracticeGrowth)^649</f>
        <v>1.626475718587791E+19</v>
      </c>
      <c r="C651" s="4">
        <f>StudentsY1*(1+StudentGrowth)^649*CreditsPerStudent*TuitionPerCredit</f>
        <v>1.0165473241173692E+20</v>
      </c>
      <c r="D651" s="4">
        <f>SimRevY1*(1+SimGrowth)^649</f>
        <v>3.6544554506865616E+31</v>
      </c>
      <c r="E651" s="4">
        <f>FacDevRevY1*(1+FacDevGrowth)^649</f>
        <v>1.8272277253432808E+31</v>
      </c>
      <c r="F651" s="4">
        <f t="shared" si="40"/>
        <v>5.4816831760400079E+31</v>
      </c>
      <c r="G651" s="4">
        <f t="shared" si="41"/>
        <v>5.4816831760416346E+31</v>
      </c>
      <c r="H651" s="4">
        <f>SalaryFTECount*SalaryPerFTE*(1+SalaryGrowth)^649</f>
        <v>2.3815324291436536E+16</v>
      </c>
      <c r="I651" s="4">
        <f>SimOpsY1*(1+SimOpsGrowth)^649</f>
        <v>1.476177446482534E+26</v>
      </c>
      <c r="J651" s="4">
        <f>TrainDevY1*(1+TrainDevGrowth)^649</f>
        <v>7.38088723241267E+25</v>
      </c>
      <c r="K651" s="4">
        <f>AdminY1*(1+AdminGrowth)^649</f>
        <v>5.3031822511233958E+20</v>
      </c>
      <c r="L651" s="4">
        <f t="shared" si="42"/>
        <v>2.2142714731442054E+26</v>
      </c>
      <c r="M651" s="4">
        <f t="shared" si="43"/>
        <v>5.4816610333269028E+31</v>
      </c>
    </row>
    <row r="652" spans="1:13" x14ac:dyDescent="0.2">
      <c r="A652" s="3">
        <f>StartYear+650</f>
        <v>2675</v>
      </c>
      <c r="B652" s="4">
        <f>FacultyFTE*HoursPerWeek*WeeksPerYear*RatePerHour*(1+PracticeGrowth)^650</f>
        <v>1.7077995045171806E+19</v>
      </c>
      <c r="C652" s="4">
        <f>StudentsY1*(1+StudentGrowth)^650*CreditsPerStudent*TuitionPerCredit</f>
        <v>1.0673746903232379E+20</v>
      </c>
      <c r="D652" s="4">
        <f>SimRevY1*(1+SimGrowth)^650</f>
        <v>4.0199009957552183E+31</v>
      </c>
      <c r="E652" s="4">
        <f>FacDevRevY1*(1+FacDevGrowth)^650</f>
        <v>2.0099504978776091E+31</v>
      </c>
      <c r="F652" s="4">
        <f t="shared" si="40"/>
        <v>6.0298514936435014E+31</v>
      </c>
      <c r="G652" s="4">
        <f t="shared" si="41"/>
        <v>6.0298514936452092E+31</v>
      </c>
      <c r="H652" s="4">
        <f>SalaryFTECount*SalaryPerFTE*(1+SalaryGrowth)^650</f>
        <v>2.4767937263093996E+16</v>
      </c>
      <c r="I652" s="4">
        <f>SimOpsY1*(1+SimOpsGrowth)^650</f>
        <v>1.594271642201137E+26</v>
      </c>
      <c r="J652" s="4">
        <f>TrainDevY1*(1+TrainDevGrowth)^650</f>
        <v>7.9713582110056852E+25</v>
      </c>
      <c r="K652" s="4">
        <f>AdminY1*(1+AdminGrowth)^650</f>
        <v>5.6213731861908003E+20</v>
      </c>
      <c r="L652" s="4">
        <f t="shared" si="42"/>
        <v>2.3914130849225708E+26</v>
      </c>
      <c r="M652" s="4">
        <f t="shared" si="43"/>
        <v>6.0298275795143597E+31</v>
      </c>
    </row>
    <row r="653" spans="1:13" x14ac:dyDescent="0.2">
      <c r="A653" s="3">
        <f>StartYear+651</f>
        <v>2676</v>
      </c>
      <c r="B653" s="4">
        <f>FacultyFTE*HoursPerWeek*WeeksPerYear*RatePerHour*(1+PracticeGrowth)^651</f>
        <v>1.7931894797430397E+19</v>
      </c>
      <c r="C653" s="4">
        <f>StudentsY1*(1+StudentGrowth)^651*CreditsPerStudent*TuitionPerCredit</f>
        <v>1.1207434248394E+20</v>
      </c>
      <c r="D653" s="4">
        <f>SimRevY1*(1+SimGrowth)^651</f>
        <v>4.4218910953307404E+31</v>
      </c>
      <c r="E653" s="4">
        <f>FacDevRevY1*(1+FacDevGrowth)^651</f>
        <v>2.2109455476653702E+31</v>
      </c>
      <c r="F653" s="4">
        <f t="shared" si="40"/>
        <v>6.6328366430073178E+31</v>
      </c>
      <c r="G653" s="4">
        <f t="shared" si="41"/>
        <v>6.6328366430091111E+31</v>
      </c>
      <c r="H653" s="4">
        <f>SalaryFTECount*SalaryPerFTE*(1+SalaryGrowth)^651</f>
        <v>2.5758654753617756E+16</v>
      </c>
      <c r="I653" s="4">
        <f>SimOpsY1*(1+SimOpsGrowth)^651</f>
        <v>1.7218133735772275E+26</v>
      </c>
      <c r="J653" s="4">
        <f>TrainDevY1*(1+TrainDevGrowth)^651</f>
        <v>8.6090668678861375E+25</v>
      </c>
      <c r="K653" s="4">
        <f>AdminY1*(1+AdminGrowth)^651</f>
        <v>5.9586555773622485E+20</v>
      </c>
      <c r="L653" s="4">
        <f t="shared" si="42"/>
        <v>2.5827260192790052E+26</v>
      </c>
      <c r="M653" s="4">
        <f t="shared" si="43"/>
        <v>6.6328108157489183E+31</v>
      </c>
    </row>
    <row r="654" spans="1:13" x14ac:dyDescent="0.2">
      <c r="A654" s="3">
        <f>StartYear+652</f>
        <v>2677</v>
      </c>
      <c r="B654" s="4">
        <f>FacultyFTE*HoursPerWeek*WeeksPerYear*RatePerHour*(1+PracticeGrowth)^652</f>
        <v>1.8828489537301914E+19</v>
      </c>
      <c r="C654" s="4">
        <f>StudentsY1*(1+StudentGrowth)^652*CreditsPerStudent*TuitionPerCredit</f>
        <v>1.1767805960813697E+20</v>
      </c>
      <c r="D654" s="4">
        <f>SimRevY1*(1+SimGrowth)^652</f>
        <v>4.8640802048638143E+31</v>
      </c>
      <c r="E654" s="4">
        <f>FacDevRevY1*(1+FacDevGrowth)^652</f>
        <v>2.4320401024319072E+31</v>
      </c>
      <c r="F654" s="4">
        <f t="shared" si="40"/>
        <v>7.2961203073074898E+31</v>
      </c>
      <c r="G654" s="4">
        <f t="shared" si="41"/>
        <v>7.2961203073093723E+31</v>
      </c>
      <c r="H654" s="4">
        <f>SalaryFTECount*SalaryPerFTE*(1+SalaryGrowth)^652</f>
        <v>2.6789000943762472E+16</v>
      </c>
      <c r="I654" s="4">
        <f>SimOpsY1*(1+SimOpsGrowth)^652</f>
        <v>1.8595584434634058E+26</v>
      </c>
      <c r="J654" s="4">
        <f>TrainDevY1*(1+TrainDevGrowth)^652</f>
        <v>9.2977922173170292E+25</v>
      </c>
      <c r="K654" s="4">
        <f>AdminY1*(1+AdminGrowth)^652</f>
        <v>6.3161749120039846E+20</v>
      </c>
      <c r="L654" s="4">
        <f t="shared" si="42"/>
        <v>2.789343981637911E+26</v>
      </c>
      <c r="M654" s="4">
        <f t="shared" si="43"/>
        <v>7.2960924138695561E+31</v>
      </c>
    </row>
    <row r="655" spans="1:13" x14ac:dyDescent="0.2">
      <c r="A655" s="3">
        <f>StartYear+653</f>
        <v>2678</v>
      </c>
      <c r="B655" s="4">
        <f>FacultyFTE*HoursPerWeek*WeeksPerYear*RatePerHour*(1+PracticeGrowth)^653</f>
        <v>1.9769914014167015E+19</v>
      </c>
      <c r="C655" s="4">
        <f>StudentsY1*(1+StudentGrowth)^653*CreditsPerStudent*TuitionPerCredit</f>
        <v>1.2356196258854383E+20</v>
      </c>
      <c r="D655" s="4">
        <f>SimRevY1*(1+SimGrowth)^653</f>
        <v>5.3504882253501953E+31</v>
      </c>
      <c r="E655" s="4">
        <f>FacDevRevY1*(1+FacDevGrowth)^653</f>
        <v>2.6752441126750977E+31</v>
      </c>
      <c r="F655" s="4">
        <f t="shared" si="40"/>
        <v>8.025732338037649E+31</v>
      </c>
      <c r="G655" s="4">
        <f t="shared" si="41"/>
        <v>8.0257323380396261E+31</v>
      </c>
      <c r="H655" s="4">
        <f>SalaryFTECount*SalaryPerFTE*(1+SalaryGrowth)^653</f>
        <v>2.7860560981512972E+16</v>
      </c>
      <c r="I655" s="4">
        <f>SimOpsY1*(1+SimOpsGrowth)^653</f>
        <v>2.0083231189404784E+26</v>
      </c>
      <c r="J655" s="4">
        <f>TrainDevY1*(1+TrainDevGrowth)^653</f>
        <v>1.0041615594702392E+26</v>
      </c>
      <c r="K655" s="4">
        <f>AdminY1*(1+AdminGrowth)^653</f>
        <v>6.6951454067242238E+20</v>
      </c>
      <c r="L655" s="4">
        <f t="shared" si="42"/>
        <v>3.0124913738347299E+26</v>
      </c>
      <c r="M655" s="4">
        <f t="shared" si="43"/>
        <v>8.0257022131258879E+31</v>
      </c>
    </row>
    <row r="656" spans="1:13" x14ac:dyDescent="0.2">
      <c r="A656" s="3">
        <f>StartYear+654</f>
        <v>2679</v>
      </c>
      <c r="B656" s="4">
        <f>FacultyFTE*HoursPerWeek*WeeksPerYear*RatePerHour*(1+PracticeGrowth)^654</f>
        <v>2.0758409714875355E+19</v>
      </c>
      <c r="C656" s="4">
        <f>StudentsY1*(1+StudentGrowth)^654*CreditsPerStudent*TuitionPerCredit</f>
        <v>1.2974006071797098E+20</v>
      </c>
      <c r="D656" s="4">
        <f>SimRevY1*(1+SimGrowth)^654</f>
        <v>5.8855370478852166E+31</v>
      </c>
      <c r="E656" s="4">
        <f>FacDevRevY1*(1+FacDevGrowth)^654</f>
        <v>2.9427685239426083E+31</v>
      </c>
      <c r="F656" s="4">
        <f t="shared" si="40"/>
        <v>8.8283055718407989E+31</v>
      </c>
      <c r="G656" s="4">
        <f t="shared" si="41"/>
        <v>8.8283055718428742E+31</v>
      </c>
      <c r="H656" s="4">
        <f>SalaryFTECount*SalaryPerFTE*(1+SalaryGrowth)^654</f>
        <v>2.8974983420773492E+16</v>
      </c>
      <c r="I656" s="4">
        <f>SimOpsY1*(1+SimOpsGrowth)^654</f>
        <v>2.1689889684557172E+26</v>
      </c>
      <c r="J656" s="4">
        <f>TrainDevY1*(1+TrainDevGrowth)^654</f>
        <v>1.0844944842278586E+26</v>
      </c>
      <c r="K656" s="4">
        <f>AdminY1*(1+AdminGrowth)^654</f>
        <v>7.0968541311276771E+20</v>
      </c>
      <c r="L656" s="4">
        <f t="shared" si="42"/>
        <v>3.2534905498274561E+26</v>
      </c>
      <c r="M656" s="4">
        <f t="shared" si="43"/>
        <v>8.8282730369373761E+31</v>
      </c>
    </row>
    <row r="657" spans="1:13" x14ac:dyDescent="0.2">
      <c r="A657" s="3">
        <f>StartYear+655</f>
        <v>2680</v>
      </c>
      <c r="B657" s="4">
        <f>FacultyFTE*HoursPerWeek*WeeksPerYear*RatePerHour*(1+PracticeGrowth)^655</f>
        <v>2.1796330200619135E+19</v>
      </c>
      <c r="C657" s="4">
        <f>StudentsY1*(1+StudentGrowth)^655*CreditsPerStudent*TuitionPerCredit</f>
        <v>1.3622706375386961E+20</v>
      </c>
      <c r="D657" s="4">
        <f>SimRevY1*(1+SimGrowth)^655</f>
        <v>6.4740907526737383E+31</v>
      </c>
      <c r="E657" s="4">
        <f>FacDevRevY1*(1+FacDevGrowth)^655</f>
        <v>3.2370453763368692E+31</v>
      </c>
      <c r="F657" s="4">
        <f t="shared" si="40"/>
        <v>9.7111361290242308E+31</v>
      </c>
      <c r="G657" s="4">
        <f t="shared" si="41"/>
        <v>9.7111361290264106E+31</v>
      </c>
      <c r="H657" s="4">
        <f>SalaryFTECount*SalaryPerFTE*(1+SalaryGrowth)^655</f>
        <v>3.0133982757604432E+16</v>
      </c>
      <c r="I657" s="4">
        <f>SimOpsY1*(1+SimOpsGrowth)^655</f>
        <v>2.3425080859321748E+26</v>
      </c>
      <c r="J657" s="4">
        <f>TrainDevY1*(1+TrainDevGrowth)^655</f>
        <v>1.1712540429660874E+26</v>
      </c>
      <c r="K657" s="4">
        <f>AdminY1*(1+AdminGrowth)^655</f>
        <v>7.5226653789953406E+20</v>
      </c>
      <c r="L657" s="4">
        <f t="shared" si="42"/>
        <v>3.5137696518649811E+26</v>
      </c>
      <c r="M657" s="4">
        <f t="shared" si="43"/>
        <v>9.7111009913298913E+31</v>
      </c>
    </row>
    <row r="658" spans="1:13" x14ac:dyDescent="0.2">
      <c r="A658" s="3">
        <f>StartYear+656</f>
        <v>2681</v>
      </c>
      <c r="B658" s="4">
        <f>FacultyFTE*HoursPerWeek*WeeksPerYear*RatePerHour*(1+PracticeGrowth)^656</f>
        <v>2.2886146710650089E+19</v>
      </c>
      <c r="C658" s="4">
        <f>StudentsY1*(1+StudentGrowth)^656*CreditsPerStudent*TuitionPerCredit</f>
        <v>1.4303841694156305E+20</v>
      </c>
      <c r="D658" s="4">
        <f>SimRevY1*(1+SimGrowth)^656</f>
        <v>7.1214998279411118E+31</v>
      </c>
      <c r="E658" s="4">
        <f>FacDevRevY1*(1+FacDevGrowth)^656</f>
        <v>3.5607499139705559E+31</v>
      </c>
      <c r="F658" s="4">
        <f t="shared" si="40"/>
        <v>1.0682249741925972E+32</v>
      </c>
      <c r="G658" s="4">
        <f t="shared" si="41"/>
        <v>1.0682249741928259E+32</v>
      </c>
      <c r="H658" s="4">
        <f>SalaryFTECount*SalaryPerFTE*(1+SalaryGrowth)^656</f>
        <v>3.1339342067908608E+16</v>
      </c>
      <c r="I658" s="4">
        <f>SimOpsY1*(1+SimOpsGrowth)^656</f>
        <v>2.5299087328067486E+26</v>
      </c>
      <c r="J658" s="4">
        <f>TrainDevY1*(1+TrainDevGrowth)^656</f>
        <v>1.2649543664033743E+26</v>
      </c>
      <c r="K658" s="4">
        <f>AdminY1*(1+AdminGrowth)^656</f>
        <v>7.9740253017350577E+20</v>
      </c>
      <c r="L658" s="4">
        <f t="shared" si="42"/>
        <v>3.7948710735488181E+26</v>
      </c>
      <c r="M658" s="4">
        <f t="shared" si="43"/>
        <v>1.0682211793217523E+32</v>
      </c>
    </row>
    <row r="659" spans="1:13" x14ac:dyDescent="0.2">
      <c r="A659" s="3">
        <f>StartYear+657</f>
        <v>2682</v>
      </c>
      <c r="B659" s="4">
        <f>FacultyFTE*HoursPerWeek*WeeksPerYear*RatePerHour*(1+PracticeGrowth)^657</f>
        <v>2.4030454046182597E+19</v>
      </c>
      <c r="C659" s="4">
        <f>StudentsY1*(1+StudentGrowth)^657*CreditsPerStudent*TuitionPerCredit</f>
        <v>1.5019033778864121E+20</v>
      </c>
      <c r="D659" s="4">
        <f>SimRevY1*(1+SimGrowth)^657</f>
        <v>7.8336498107352236E+31</v>
      </c>
      <c r="E659" s="4">
        <f>FacDevRevY1*(1+FacDevGrowth)^657</f>
        <v>3.9168249053676118E+31</v>
      </c>
      <c r="F659" s="4">
        <f t="shared" si="40"/>
        <v>1.1750474716117854E+32</v>
      </c>
      <c r="G659" s="4">
        <f t="shared" si="41"/>
        <v>1.1750474716120258E+32</v>
      </c>
      <c r="H659" s="4">
        <f>SalaryFTECount*SalaryPerFTE*(1+SalaryGrowth)^657</f>
        <v>3.2592915750624956E+16</v>
      </c>
      <c r="I659" s="4">
        <f>SimOpsY1*(1+SimOpsGrowth)^657</f>
        <v>2.7323014314312885E+26</v>
      </c>
      <c r="J659" s="4">
        <f>TrainDevY1*(1+TrainDevGrowth)^657</f>
        <v>1.3661507157156443E+26</v>
      </c>
      <c r="K659" s="4">
        <f>AdminY1*(1+AdminGrowth)^657</f>
        <v>8.4524668198391631E+20</v>
      </c>
      <c r="L659" s="4">
        <f t="shared" si="42"/>
        <v>4.0984605999396819E+26</v>
      </c>
      <c r="M659" s="4">
        <f t="shared" si="43"/>
        <v>1.1750433731514258E+32</v>
      </c>
    </row>
    <row r="660" spans="1:13" x14ac:dyDescent="0.2">
      <c r="A660" s="3">
        <f>StartYear+658</f>
        <v>2683</v>
      </c>
      <c r="B660" s="4">
        <f>FacultyFTE*HoursPerWeek*WeeksPerYear*RatePerHour*(1+PracticeGrowth)^658</f>
        <v>2.5231976748491723E+19</v>
      </c>
      <c r="C660" s="4">
        <f>StudentsY1*(1+StudentGrowth)^658*CreditsPerStudent*TuitionPerCredit</f>
        <v>1.5769985467807328E+20</v>
      </c>
      <c r="D660" s="4">
        <f>SimRevY1*(1+SimGrowth)^658</f>
        <v>8.6170147918087464E+31</v>
      </c>
      <c r="E660" s="4">
        <f>FacDevRevY1*(1+FacDevGrowth)^658</f>
        <v>4.3085073959043732E+31</v>
      </c>
      <c r="F660" s="4">
        <f t="shared" si="40"/>
        <v>1.2925522187728889E+32</v>
      </c>
      <c r="G660" s="4">
        <f t="shared" si="41"/>
        <v>1.2925522187731413E+32</v>
      </c>
      <c r="H660" s="4">
        <f>SalaryFTECount*SalaryPerFTE*(1+SalaryGrowth)^658</f>
        <v>3.3896632380649956E+16</v>
      </c>
      <c r="I660" s="4">
        <f>SimOpsY1*(1+SimOpsGrowth)^658</f>
        <v>2.9508855459457919E+26</v>
      </c>
      <c r="J660" s="4">
        <f>TrainDevY1*(1+TrainDevGrowth)^658</f>
        <v>1.4754427729728959E+26</v>
      </c>
      <c r="K660" s="4">
        <f>AdminY1*(1+AdminGrowth)^658</f>
        <v>8.9596148290295117E+20</v>
      </c>
      <c r="L660" s="4">
        <f t="shared" si="42"/>
        <v>4.4263372788724831E+26</v>
      </c>
      <c r="M660" s="4">
        <f t="shared" si="43"/>
        <v>1.2925477924358624E+32</v>
      </c>
    </row>
    <row r="661" spans="1:13" x14ac:dyDescent="0.2">
      <c r="A661" s="3">
        <f>StartYear+659</f>
        <v>2684</v>
      </c>
      <c r="B661" s="4">
        <f>FacultyFTE*HoursPerWeek*WeeksPerYear*RatePerHour*(1+PracticeGrowth)^659</f>
        <v>2.6493575585916314E+19</v>
      </c>
      <c r="C661" s="4">
        <f>StudentsY1*(1+StudentGrowth)^659*CreditsPerStudent*TuitionPerCredit</f>
        <v>1.6558484741197696E+20</v>
      </c>
      <c r="D661" s="4">
        <f>SimRevY1*(1+SimGrowth)^659</f>
        <v>9.4787162709896228E+31</v>
      </c>
      <c r="E661" s="4">
        <f>FacDevRevY1*(1+FacDevGrowth)^659</f>
        <v>4.7393581354948114E+31</v>
      </c>
      <c r="F661" s="4">
        <f t="shared" si="40"/>
        <v>1.4218074406500993E+32</v>
      </c>
      <c r="G661" s="4">
        <f t="shared" si="41"/>
        <v>1.4218074406503643E+32</v>
      </c>
      <c r="H661" s="4">
        <f>SalaryFTECount*SalaryPerFTE*(1+SalaryGrowth)^659</f>
        <v>3.525249767587596E+16</v>
      </c>
      <c r="I661" s="4">
        <f>SimOpsY1*(1+SimOpsGrowth)^659</f>
        <v>3.1869563896214555E+26</v>
      </c>
      <c r="J661" s="4">
        <f>TrainDevY1*(1+TrainDevGrowth)^659</f>
        <v>1.5934781948107277E+26</v>
      </c>
      <c r="K661" s="4">
        <f>AdminY1*(1+AdminGrowth)^659</f>
        <v>9.497191718771285E+20</v>
      </c>
      <c r="L661" s="4">
        <f t="shared" si="42"/>
        <v>4.7804440819764268E+26</v>
      </c>
      <c r="M661" s="4">
        <f t="shared" si="43"/>
        <v>1.4218026602062823E+32</v>
      </c>
    </row>
    <row r="662" spans="1:13" x14ac:dyDescent="0.2">
      <c r="A662" s="3">
        <f>StartYear+660</f>
        <v>2685</v>
      </c>
      <c r="B662" s="4">
        <f>FacultyFTE*HoursPerWeek*WeeksPerYear*RatePerHour*(1+PracticeGrowth)^660</f>
        <v>2.7818254365212127E+19</v>
      </c>
      <c r="C662" s="4">
        <f>StudentsY1*(1+StudentGrowth)^660*CreditsPerStudent*TuitionPerCredit</f>
        <v>1.7386408978257579E+20</v>
      </c>
      <c r="D662" s="4">
        <f>SimRevY1*(1+SimGrowth)^660</f>
        <v>1.0426587898088585E+32</v>
      </c>
      <c r="E662" s="4">
        <f>FacDevRevY1*(1+FacDevGrowth)^660</f>
        <v>5.2132939490442924E+31</v>
      </c>
      <c r="F662" s="4">
        <f t="shared" si="40"/>
        <v>1.5639881847150262E+32</v>
      </c>
      <c r="G662" s="4">
        <f t="shared" si="41"/>
        <v>1.5639881847153043E+32</v>
      </c>
      <c r="H662" s="4">
        <f>SalaryFTECount*SalaryPerFTE*(1+SalaryGrowth)^660</f>
        <v>3.6662597582910992E+16</v>
      </c>
      <c r="I662" s="4">
        <f>SimOpsY1*(1+SimOpsGrowth)^660</f>
        <v>3.4419129007911719E+26</v>
      </c>
      <c r="J662" s="4">
        <f>TrainDevY1*(1+TrainDevGrowth)^660</f>
        <v>1.720956450395586E+26</v>
      </c>
      <c r="K662" s="4">
        <f>AdminY1*(1+AdminGrowth)^660</f>
        <v>1.0067023221897561E+21</v>
      </c>
      <c r="L662" s="4">
        <f t="shared" si="42"/>
        <v>5.162879418576606E+26</v>
      </c>
      <c r="M662" s="4">
        <f t="shared" si="43"/>
        <v>1.5639830218358858E+32</v>
      </c>
    </row>
    <row r="663" spans="1:13" x14ac:dyDescent="0.2">
      <c r="A663" s="3">
        <f>StartYear+661</f>
        <v>2686</v>
      </c>
      <c r="B663" s="4">
        <f>FacultyFTE*HoursPerWeek*WeeksPerYear*RatePerHour*(1+PracticeGrowth)^661</f>
        <v>2.9209167083472732E+19</v>
      </c>
      <c r="C663" s="4">
        <f>StudentsY1*(1+StudentGrowth)^661*CreditsPerStudent*TuitionPerCredit</f>
        <v>1.825572942717046E+20</v>
      </c>
      <c r="D663" s="4">
        <f>SimRevY1*(1+SimGrowth)^661</f>
        <v>1.1469246687897445E+32</v>
      </c>
      <c r="E663" s="4">
        <f>FacDevRevY1*(1+FacDevGrowth)^661</f>
        <v>5.7346233439487224E+31</v>
      </c>
      <c r="F663" s="4">
        <f t="shared" si="40"/>
        <v>1.7203870031864423E+32</v>
      </c>
      <c r="G663" s="4">
        <f t="shared" si="41"/>
        <v>1.7203870031867345E+32</v>
      </c>
      <c r="H663" s="4">
        <f>SalaryFTECount*SalaryPerFTE*(1+SalaryGrowth)^661</f>
        <v>3.8129101486227448E+16</v>
      </c>
      <c r="I663" s="4">
        <f>SimOpsY1*(1+SimOpsGrowth)^661</f>
        <v>3.7172659328544657E+26</v>
      </c>
      <c r="J663" s="4">
        <f>TrainDevY1*(1+TrainDevGrowth)^661</f>
        <v>1.8586329664272328E+26</v>
      </c>
      <c r="K663" s="4">
        <f>AdminY1*(1+AdminGrowth)^661</f>
        <v>1.0671044615211418E+21</v>
      </c>
      <c r="L663" s="4">
        <f t="shared" si="42"/>
        <v>5.5759095707076041E+26</v>
      </c>
      <c r="M663" s="4">
        <f t="shared" si="43"/>
        <v>1.7203814272771636E+32</v>
      </c>
    </row>
    <row r="664" spans="1:13" x14ac:dyDescent="0.2">
      <c r="A664" s="3">
        <f>StartYear+662</f>
        <v>2687</v>
      </c>
      <c r="B664" s="4">
        <f>FacultyFTE*HoursPerWeek*WeeksPerYear*RatePerHour*(1+PracticeGrowth)^662</f>
        <v>3.0669625437646365E+19</v>
      </c>
      <c r="C664" s="4">
        <f>StudentsY1*(1+StudentGrowth)^662*CreditsPerStudent*TuitionPerCredit</f>
        <v>1.9168515898528979E+20</v>
      </c>
      <c r="D664" s="4">
        <f>SimRevY1*(1+SimGrowth)^662</f>
        <v>1.2616171356687193E+32</v>
      </c>
      <c r="E664" s="4">
        <f>FacDevRevY1*(1+FacDevGrowth)^662</f>
        <v>6.3080856783435965E+31</v>
      </c>
      <c r="F664" s="4">
        <f t="shared" si="40"/>
        <v>1.892425703504996E+32</v>
      </c>
      <c r="G664" s="4">
        <f t="shared" si="41"/>
        <v>1.8924257035053026E+32</v>
      </c>
      <c r="H664" s="4">
        <f>SalaryFTECount*SalaryPerFTE*(1+SalaryGrowth)^662</f>
        <v>3.9654265545676544E+16</v>
      </c>
      <c r="I664" s="4">
        <f>SimOpsY1*(1+SimOpsGrowth)^662</f>
        <v>4.0146472074828238E+26</v>
      </c>
      <c r="J664" s="4">
        <f>TrainDevY1*(1+TrainDevGrowth)^662</f>
        <v>2.0073236037414119E+26</v>
      </c>
      <c r="K664" s="4">
        <f>AdminY1*(1+AdminGrowth)^662</f>
        <v>1.1311307292124102E+21</v>
      </c>
      <c r="L664" s="4">
        <f t="shared" si="42"/>
        <v>6.021982122928071E+26</v>
      </c>
      <c r="M664" s="4">
        <f t="shared" si="43"/>
        <v>1.8924196815231797E+32</v>
      </c>
    </row>
    <row r="665" spans="1:13" x14ac:dyDescent="0.2">
      <c r="A665" s="3">
        <f>StartYear+663</f>
        <v>2688</v>
      </c>
      <c r="B665" s="4">
        <f>FacultyFTE*HoursPerWeek*WeeksPerYear*RatePerHour*(1+PracticeGrowth)^663</f>
        <v>3.2203106709528691E+19</v>
      </c>
      <c r="C665" s="4">
        <f>StudentsY1*(1+StudentGrowth)^663*CreditsPerStudent*TuitionPerCredit</f>
        <v>2.012694169345543E+20</v>
      </c>
      <c r="D665" s="4">
        <f>SimRevY1*(1+SimGrowth)^663</f>
        <v>1.3877788492355912E+32</v>
      </c>
      <c r="E665" s="4">
        <f>FacDevRevY1*(1+FacDevGrowth)^663</f>
        <v>6.9388942461779561E+31</v>
      </c>
      <c r="F665" s="4">
        <f t="shared" si="40"/>
        <v>2.0816682738553996E+32</v>
      </c>
      <c r="G665" s="4">
        <f t="shared" si="41"/>
        <v>2.0816682738557217E+32</v>
      </c>
      <c r="H665" s="4">
        <f>SalaryFTECount*SalaryPerFTE*(1+SalaryGrowth)^663</f>
        <v>4.12404361675036E+16</v>
      </c>
      <c r="I665" s="4">
        <f>SimOpsY1*(1+SimOpsGrowth)^663</f>
        <v>4.3358189840814497E+26</v>
      </c>
      <c r="J665" s="4">
        <f>TrainDevY1*(1+TrainDevGrowth)^663</f>
        <v>2.1679094920407248E+26</v>
      </c>
      <c r="K665" s="4">
        <f>AdminY1*(1+AdminGrowth)^663</f>
        <v>1.198998572965155E+21</v>
      </c>
      <c r="L665" s="4">
        <f t="shared" si="42"/>
        <v>6.5037404665203078E+26</v>
      </c>
      <c r="M665" s="4">
        <f t="shared" si="43"/>
        <v>2.0816617701152553E+32</v>
      </c>
    </row>
    <row r="666" spans="1:13" x14ac:dyDescent="0.2">
      <c r="A666" s="3">
        <f>StartYear+664</f>
        <v>2689</v>
      </c>
      <c r="B666" s="4">
        <f>FacultyFTE*HoursPerWeek*WeeksPerYear*RatePerHour*(1+PracticeGrowth)^664</f>
        <v>3.3813262045005119E+19</v>
      </c>
      <c r="C666" s="4">
        <f>StudentsY1*(1+StudentGrowth)^664*CreditsPerStudent*TuitionPerCredit</f>
        <v>2.1133288778128202E+20</v>
      </c>
      <c r="D666" s="4">
        <f>SimRevY1*(1+SimGrowth)^664</f>
        <v>1.5265567341591501E+32</v>
      </c>
      <c r="E666" s="4">
        <f>FacDevRevY1*(1+FacDevGrowth)^664</f>
        <v>7.6327836707957503E+31</v>
      </c>
      <c r="F666" s="4">
        <f t="shared" si="40"/>
        <v>2.2898351012408384E+32</v>
      </c>
      <c r="G666" s="4">
        <f t="shared" si="41"/>
        <v>2.2898351012411768E+32</v>
      </c>
      <c r="H666" s="4">
        <f>SalaryFTECount*SalaryPerFTE*(1+SalaryGrowth)^664</f>
        <v>4.2890053614203744E+16</v>
      </c>
      <c r="I666" s="4">
        <f>SimOpsY1*(1+SimOpsGrowth)^664</f>
        <v>4.6826845028079646E+26</v>
      </c>
      <c r="J666" s="4">
        <f>TrainDevY1*(1+TrainDevGrowth)^664</f>
        <v>2.3413422514039823E+26</v>
      </c>
      <c r="K666" s="4">
        <f>AdminY1*(1+AdminGrowth)^664</f>
        <v>1.2709384873430643E+21</v>
      </c>
      <c r="L666" s="4">
        <f t="shared" si="42"/>
        <v>7.0240394640257204E+26</v>
      </c>
      <c r="M666" s="4">
        <f t="shared" si="43"/>
        <v>2.2898280772017128E+32</v>
      </c>
    </row>
    <row r="667" spans="1:13" x14ac:dyDescent="0.2">
      <c r="A667" s="3">
        <f>StartYear+665</f>
        <v>2690</v>
      </c>
      <c r="B667" s="4">
        <f>FacultyFTE*HoursPerWeek*WeeksPerYear*RatePerHour*(1+PracticeGrowth)^665</f>
        <v>3.5503925147255378E+19</v>
      </c>
      <c r="C667" s="4">
        <f>StudentsY1*(1+StudentGrowth)^665*CreditsPerStudent*TuitionPerCredit</f>
        <v>2.218995321703461E+20</v>
      </c>
      <c r="D667" s="4">
        <f>SimRevY1*(1+SimGrowth)^665</f>
        <v>1.6792124075750652E+32</v>
      </c>
      <c r="E667" s="4">
        <f>FacDevRevY1*(1+FacDevGrowth)^665</f>
        <v>8.3960620378753259E+31</v>
      </c>
      <c r="F667" s="4">
        <f t="shared" si="40"/>
        <v>2.5188186113648168E+32</v>
      </c>
      <c r="G667" s="4">
        <f t="shared" si="41"/>
        <v>2.5188186113651717E+32</v>
      </c>
      <c r="H667" s="4">
        <f>SalaryFTECount*SalaryPerFTE*(1+SalaryGrowth)^665</f>
        <v>4.4605655758771904E+16</v>
      </c>
      <c r="I667" s="4">
        <f>SimOpsY1*(1+SimOpsGrowth)^665</f>
        <v>5.0572992630326035E+26</v>
      </c>
      <c r="J667" s="4">
        <f>TrainDevY1*(1+TrainDevGrowth)^665</f>
        <v>2.5286496315163018E+26</v>
      </c>
      <c r="K667" s="4">
        <f>AdminY1*(1+AdminGrowth)^665</f>
        <v>1.347194796583648E+21</v>
      </c>
      <c r="L667" s="4">
        <f t="shared" si="42"/>
        <v>7.5859623669429279E+26</v>
      </c>
      <c r="M667" s="4">
        <f t="shared" si="43"/>
        <v>2.5188110254028048E+32</v>
      </c>
    </row>
    <row r="668" spans="1:13" x14ac:dyDescent="0.2">
      <c r="A668" s="3">
        <f>StartYear+666</f>
        <v>2691</v>
      </c>
      <c r="B668" s="4">
        <f>FacultyFTE*HoursPerWeek*WeeksPerYear*RatePerHour*(1+PracticeGrowth)^666</f>
        <v>3.7279121404618146E+19</v>
      </c>
      <c r="C668" s="4">
        <f>StudentsY1*(1+StudentGrowth)^666*CreditsPerStudent*TuitionPerCredit</f>
        <v>2.3299450877886343E+20</v>
      </c>
      <c r="D668" s="4">
        <f>SimRevY1*(1+SimGrowth)^666</f>
        <v>1.8471336483325717E+32</v>
      </c>
      <c r="E668" s="4">
        <f>FacDevRevY1*(1+FacDevGrowth)^666</f>
        <v>9.2356682416628585E+31</v>
      </c>
      <c r="F668" s="4">
        <f t="shared" si="40"/>
        <v>2.7707004725011875E+32</v>
      </c>
      <c r="G668" s="4">
        <f t="shared" si="41"/>
        <v>2.7707004725015604E+32</v>
      </c>
      <c r="H668" s="4">
        <f>SalaryFTECount*SalaryPerFTE*(1+SalaryGrowth)^666</f>
        <v>4.6389881989122776E+16</v>
      </c>
      <c r="I668" s="4">
        <f>SimOpsY1*(1+SimOpsGrowth)^666</f>
        <v>5.4618832040752113E+26</v>
      </c>
      <c r="J668" s="4">
        <f>TrainDevY1*(1+TrainDevGrowth)^666</f>
        <v>2.7309416020376056E+26</v>
      </c>
      <c r="K668" s="4">
        <f>AdminY1*(1+AdminGrowth)^666</f>
        <v>1.4280264843786671E+21</v>
      </c>
      <c r="L668" s="4">
        <f t="shared" si="42"/>
        <v>8.1928390868415594E+26</v>
      </c>
      <c r="M668" s="4">
        <f t="shared" si="43"/>
        <v>2.7706922796624737E+32</v>
      </c>
    </row>
    <row r="669" spans="1:13" x14ac:dyDescent="0.2">
      <c r="A669" s="3">
        <f>StartYear+667</f>
        <v>2692</v>
      </c>
      <c r="B669" s="4">
        <f>FacultyFTE*HoursPerWeek*WeeksPerYear*RatePerHour*(1+PracticeGrowth)^667</f>
        <v>3.9143077474849063E+19</v>
      </c>
      <c r="C669" s="4">
        <f>StudentsY1*(1+StudentGrowth)^667*CreditsPerStudent*TuitionPerCredit</f>
        <v>2.4464423421780663E+20</v>
      </c>
      <c r="D669" s="4">
        <f>SimRevY1*(1+SimGrowth)^667</f>
        <v>2.0318470131658296E+32</v>
      </c>
      <c r="E669" s="4">
        <f>FacDevRevY1*(1+FacDevGrowth)^667</f>
        <v>1.0159235065829148E+32</v>
      </c>
      <c r="F669" s="4">
        <f t="shared" si="40"/>
        <v>3.0477705197511908E+32</v>
      </c>
      <c r="G669" s="4">
        <f t="shared" si="41"/>
        <v>3.047770519751582E+32</v>
      </c>
      <c r="H669" s="4">
        <f>SalaryFTECount*SalaryPerFTE*(1+SalaryGrowth)^667</f>
        <v>4.8245477268687688E+16</v>
      </c>
      <c r="I669" s="4">
        <f>SimOpsY1*(1+SimOpsGrowth)^667</f>
        <v>5.8988338604012284E+26</v>
      </c>
      <c r="J669" s="4">
        <f>TrainDevY1*(1+TrainDevGrowth)^667</f>
        <v>2.9494169302006142E+26</v>
      </c>
      <c r="K669" s="4">
        <f>AdminY1*(1+AdminGrowth)^667</f>
        <v>1.5137080734413871E+21</v>
      </c>
      <c r="L669" s="4">
        <f t="shared" si="42"/>
        <v>8.848265928165033E+26</v>
      </c>
      <c r="M669" s="4">
        <f t="shared" si="43"/>
        <v>3.0477616714856537E+32</v>
      </c>
    </row>
    <row r="670" spans="1:13" x14ac:dyDescent="0.2">
      <c r="A670" s="3">
        <f>StartYear+668</f>
        <v>2693</v>
      </c>
      <c r="B670" s="4">
        <f>FacultyFTE*HoursPerWeek*WeeksPerYear*RatePerHour*(1+PracticeGrowth)^668</f>
        <v>4.110023134859151E+19</v>
      </c>
      <c r="C670" s="4">
        <f>StudentsY1*(1+StudentGrowth)^668*CreditsPerStudent*TuitionPerCredit</f>
        <v>2.5687644592869691E+20</v>
      </c>
      <c r="D670" s="4">
        <f>SimRevY1*(1+SimGrowth)^668</f>
        <v>2.2350317144824124E+32</v>
      </c>
      <c r="E670" s="4">
        <f>FacDevRevY1*(1+FacDevGrowth)^668</f>
        <v>1.1175158572412062E+32</v>
      </c>
      <c r="F670" s="4">
        <f t="shared" si="40"/>
        <v>3.3525475717261877E+32</v>
      </c>
      <c r="G670" s="4">
        <f t="shared" si="41"/>
        <v>3.3525475717265984E+32</v>
      </c>
      <c r="H670" s="4">
        <f>SalaryFTECount*SalaryPerFTE*(1+SalaryGrowth)^668</f>
        <v>5.0175296359435208E+16</v>
      </c>
      <c r="I670" s="4">
        <f>SimOpsY1*(1+SimOpsGrowth)^668</f>
        <v>6.3707405692333272E+26</v>
      </c>
      <c r="J670" s="4">
        <f>TrainDevY1*(1+TrainDevGrowth)^668</f>
        <v>3.1853702846166636E+26</v>
      </c>
      <c r="K670" s="4">
        <f>AdminY1*(1+AdminGrowth)^668</f>
        <v>1.6045305578478706E+21</v>
      </c>
      <c r="L670" s="4">
        <f t="shared" si="42"/>
        <v>9.5561268996573224E+26</v>
      </c>
      <c r="M670" s="4">
        <f t="shared" si="43"/>
        <v>3.3525380155996986E+32</v>
      </c>
    </row>
    <row r="671" spans="1:13" x14ac:dyDescent="0.2">
      <c r="A671" s="3">
        <f>StartYear+669</f>
        <v>2694</v>
      </c>
      <c r="B671" s="4">
        <f>FacultyFTE*HoursPerWeek*WeeksPerYear*RatePerHour*(1+PracticeGrowth)^669</f>
        <v>4.3155242916021092E+19</v>
      </c>
      <c r="C671" s="4">
        <f>StudentsY1*(1+StudentGrowth)^669*CreditsPerStudent*TuitionPerCredit</f>
        <v>2.6972026822513184E+20</v>
      </c>
      <c r="D671" s="4">
        <f>SimRevY1*(1+SimGrowth)^669</f>
        <v>2.4585348859306535E+32</v>
      </c>
      <c r="E671" s="4">
        <f>FacDevRevY1*(1+FacDevGrowth)^669</f>
        <v>1.2292674429653268E+32</v>
      </c>
      <c r="F671" s="4">
        <f t="shared" si="40"/>
        <v>3.6878023288986771E+32</v>
      </c>
      <c r="G671" s="4">
        <f t="shared" si="41"/>
        <v>3.6878023288991087E+32</v>
      </c>
      <c r="H671" s="4">
        <f>SalaryFTECount*SalaryPerFTE*(1+SalaryGrowth)^669</f>
        <v>5.2182308213812616E+16</v>
      </c>
      <c r="I671" s="4">
        <f>SimOpsY1*(1+SimOpsGrowth)^669</f>
        <v>6.8803998147719922E+26</v>
      </c>
      <c r="J671" s="4">
        <f>TrainDevY1*(1+TrainDevGrowth)^669</f>
        <v>3.4401999073859961E+26</v>
      </c>
      <c r="K671" s="4">
        <f>AdminY1*(1+AdminGrowth)^669</f>
        <v>1.700802391318743E+21</v>
      </c>
      <c r="L671" s="4">
        <f t="shared" si="42"/>
        <v>1.0320616730703723E+27</v>
      </c>
      <c r="M671" s="4">
        <f t="shared" si="43"/>
        <v>3.6877920082823783E+32</v>
      </c>
    </row>
    <row r="672" spans="1:13" x14ac:dyDescent="0.2">
      <c r="A672" s="3">
        <f>StartYear+670</f>
        <v>2695</v>
      </c>
      <c r="B672" s="4">
        <f>FacultyFTE*HoursPerWeek*WeeksPerYear*RatePerHour*(1+PracticeGrowth)^670</f>
        <v>4.5313005061822128E+19</v>
      </c>
      <c r="C672" s="4">
        <f>StudentsY1*(1+StudentGrowth)^670*CreditsPerStudent*TuitionPerCredit</f>
        <v>2.8320628163638834E+20</v>
      </c>
      <c r="D672" s="4">
        <f>SimRevY1*(1+SimGrowth)^670</f>
        <v>2.7043883745237194E+32</v>
      </c>
      <c r="E672" s="4">
        <f>FacDevRevY1*(1+FacDevGrowth)^670</f>
        <v>1.3521941872618597E+32</v>
      </c>
      <c r="F672" s="4">
        <f t="shared" si="40"/>
        <v>4.0565825617884113E+32</v>
      </c>
      <c r="G672" s="4">
        <f t="shared" si="41"/>
        <v>4.0565825617888646E+32</v>
      </c>
      <c r="H672" s="4">
        <f>SalaryFTECount*SalaryPerFTE*(1+SalaryGrowth)^670</f>
        <v>5.426960054236512E+16</v>
      </c>
      <c r="I672" s="4">
        <f>SimOpsY1*(1+SimOpsGrowth)^670</f>
        <v>7.4308317999537542E+26</v>
      </c>
      <c r="J672" s="4">
        <f>TrainDevY1*(1+TrainDevGrowth)^670</f>
        <v>3.7154158999768771E+26</v>
      </c>
      <c r="K672" s="4">
        <f>AdminY1*(1+AdminGrowth)^670</f>
        <v>1.8028505347978675E+21</v>
      </c>
      <c r="L672" s="4">
        <f t="shared" si="42"/>
        <v>1.1146265728978674E+27</v>
      </c>
      <c r="M672" s="4">
        <f t="shared" si="43"/>
        <v>4.0565714155231353E+32</v>
      </c>
    </row>
    <row r="673" spans="1:13" x14ac:dyDescent="0.2">
      <c r="A673" s="3">
        <f>StartYear+671</f>
        <v>2696</v>
      </c>
      <c r="B673" s="4">
        <f>FacultyFTE*HoursPerWeek*WeeksPerYear*RatePerHour*(1+PracticeGrowth)^671</f>
        <v>4.7578655314913255E+19</v>
      </c>
      <c r="C673" s="4">
        <f>StudentsY1*(1+StudentGrowth)^671*CreditsPerStudent*TuitionPerCredit</f>
        <v>2.9736659571820783E+20</v>
      </c>
      <c r="D673" s="4">
        <f>SimRevY1*(1+SimGrowth)^671</f>
        <v>2.9748272119760915E+32</v>
      </c>
      <c r="E673" s="4">
        <f>FacDevRevY1*(1+FacDevGrowth)^671</f>
        <v>1.4874136059880457E+32</v>
      </c>
      <c r="F673" s="4">
        <f t="shared" si="40"/>
        <v>4.4622408179671109E+32</v>
      </c>
      <c r="G673" s="4">
        <f t="shared" si="41"/>
        <v>4.4622408179675865E+32</v>
      </c>
      <c r="H673" s="4">
        <f>SalaryFTECount*SalaryPerFTE*(1+SalaryGrowth)^671</f>
        <v>5.644038456405972E+16</v>
      </c>
      <c r="I673" s="4">
        <f>SimOpsY1*(1+SimOpsGrowth)^671</f>
        <v>8.0252983439500548E+26</v>
      </c>
      <c r="J673" s="4">
        <f>TrainDevY1*(1+TrainDevGrowth)^671</f>
        <v>4.0126491719750274E+26</v>
      </c>
      <c r="K673" s="4">
        <f>AdminY1*(1+AdminGrowth)^671</f>
        <v>1.9110215668857399E+21</v>
      </c>
      <c r="L673" s="4">
        <f t="shared" si="42"/>
        <v>1.2037966626705155E+27</v>
      </c>
      <c r="M673" s="4">
        <f t="shared" si="43"/>
        <v>4.46222878000096E+32</v>
      </c>
    </row>
    <row r="674" spans="1:13" x14ac:dyDescent="0.2">
      <c r="A674" s="3">
        <f>StartYear+672</f>
        <v>2697</v>
      </c>
      <c r="B674" s="4">
        <f>FacultyFTE*HoursPerWeek*WeeksPerYear*RatePerHour*(1+PracticeGrowth)^672</f>
        <v>4.9957588080658907E+19</v>
      </c>
      <c r="C674" s="4">
        <f>StudentsY1*(1+StudentGrowth)^672*CreditsPerStudent*TuitionPerCredit</f>
        <v>3.1223492550411819E+20</v>
      </c>
      <c r="D674" s="4">
        <f>SimRevY1*(1+SimGrowth)^672</f>
        <v>3.2723099331737012E+32</v>
      </c>
      <c r="E674" s="4">
        <f>FacDevRevY1*(1+FacDevGrowth)^672</f>
        <v>1.6361549665868506E+32</v>
      </c>
      <c r="F674" s="4">
        <f t="shared" si="40"/>
        <v>4.9084648997636737E+32</v>
      </c>
      <c r="G674" s="4">
        <f t="shared" si="41"/>
        <v>4.908464899764173E+32</v>
      </c>
      <c r="H674" s="4">
        <f>SalaryFTECount*SalaryPerFTE*(1+SalaryGrowth)^672</f>
        <v>5.869799994662212E+16</v>
      </c>
      <c r="I674" s="4">
        <f>SimOpsY1*(1+SimOpsGrowth)^672</f>
        <v>8.6673222114660588E+26</v>
      </c>
      <c r="J674" s="4">
        <f>TrainDevY1*(1+TrainDevGrowth)^672</f>
        <v>4.3336611057330294E+26</v>
      </c>
      <c r="K674" s="4">
        <f>AdminY1*(1+AdminGrowth)^672</f>
        <v>2.0256828608988837E+21</v>
      </c>
      <c r="L674" s="4">
        <f t="shared" si="42"/>
        <v>1.3001003574614677E+27</v>
      </c>
      <c r="M674" s="4">
        <f t="shared" si="43"/>
        <v>4.9084518987605982E+32</v>
      </c>
    </row>
    <row r="675" spans="1:13" x14ac:dyDescent="0.2">
      <c r="A675" s="3">
        <f>StartYear+673</f>
        <v>2698</v>
      </c>
      <c r="B675" s="4">
        <f>FacultyFTE*HoursPerWeek*WeeksPerYear*RatePerHour*(1+PracticeGrowth)^673</f>
        <v>5.2455467484691866E+19</v>
      </c>
      <c r="C675" s="4">
        <f>StudentsY1*(1+StudentGrowth)^673*CreditsPerStudent*TuitionPerCredit</f>
        <v>3.2784667177932417E+20</v>
      </c>
      <c r="D675" s="4">
        <f>SimRevY1*(1+SimGrowth)^673</f>
        <v>3.5995409264910718E+32</v>
      </c>
      <c r="E675" s="4">
        <f>FacDevRevY1*(1+FacDevGrowth)^673</f>
        <v>1.7997704632455359E+32</v>
      </c>
      <c r="F675" s="4">
        <f t="shared" si="40"/>
        <v>5.399311389739886E+32</v>
      </c>
      <c r="G675" s="4">
        <f t="shared" si="41"/>
        <v>5.3993113897404105E+32</v>
      </c>
      <c r="H675" s="4">
        <f>SalaryFTECount*SalaryPerFTE*(1+SalaryGrowth)^673</f>
        <v>6.1045919944487E+16</v>
      </c>
      <c r="I675" s="4">
        <f>SimOpsY1*(1+SimOpsGrowth)^673</f>
        <v>9.3607079883833438E+26</v>
      </c>
      <c r="J675" s="4">
        <f>TrainDevY1*(1+TrainDevGrowth)^673</f>
        <v>4.6803539941916719E+26</v>
      </c>
      <c r="K675" s="4">
        <f>AdminY1*(1+AdminGrowth)^673</f>
        <v>2.1472238325528173E+21</v>
      </c>
      <c r="L675" s="4">
        <f t="shared" si="42"/>
        <v>1.4041083455423802E+27</v>
      </c>
      <c r="M675" s="4">
        <f t="shared" si="43"/>
        <v>5.3992973486569548E+32</v>
      </c>
    </row>
    <row r="676" spans="1:13" x14ac:dyDescent="0.2">
      <c r="A676" s="3">
        <f>StartYear+674</f>
        <v>2699</v>
      </c>
      <c r="B676" s="4">
        <f>FacultyFTE*HoursPerWeek*WeeksPerYear*RatePerHour*(1+PracticeGrowth)^674</f>
        <v>5.507824085892644E+19</v>
      </c>
      <c r="C676" s="4">
        <f>StudentsY1*(1+StudentGrowth)^674*CreditsPerStudent*TuitionPerCredit</f>
        <v>3.4423900536829025E+20</v>
      </c>
      <c r="D676" s="4">
        <f>SimRevY1*(1+SimGrowth)^674</f>
        <v>3.9594950191401786E+32</v>
      </c>
      <c r="E676" s="4">
        <f>FacDevRevY1*(1+FacDevGrowth)^674</f>
        <v>1.9797475095700893E+32</v>
      </c>
      <c r="F676" s="4">
        <f t="shared" si="40"/>
        <v>5.9392425287137101E+32</v>
      </c>
      <c r="G676" s="4">
        <f t="shared" si="41"/>
        <v>5.9392425287142606E+32</v>
      </c>
      <c r="H676" s="4">
        <f>SalaryFTECount*SalaryPerFTE*(1+SalaryGrowth)^674</f>
        <v>6.348775674226648E+16</v>
      </c>
      <c r="I676" s="4">
        <f>SimOpsY1*(1+SimOpsGrowth)^674</f>
        <v>1.0109564627454011E+27</v>
      </c>
      <c r="J676" s="4">
        <f>TrainDevY1*(1+TrainDevGrowth)^674</f>
        <v>5.0547823137270054E+26</v>
      </c>
      <c r="K676" s="4">
        <f>AdminY1*(1+AdminGrowth)^674</f>
        <v>2.2760572625059864E+21</v>
      </c>
      <c r="L676" s="4">
        <f t="shared" si="42"/>
        <v>1.5164369702388519E+27</v>
      </c>
      <c r="M676" s="4">
        <f t="shared" si="43"/>
        <v>5.9392273643445582E+32</v>
      </c>
    </row>
    <row r="677" spans="1:13" x14ac:dyDescent="0.2">
      <c r="A677" s="3">
        <f>StartYear+675</f>
        <v>2700</v>
      </c>
      <c r="B677" s="4">
        <f>FacultyFTE*HoursPerWeek*WeeksPerYear*RatePerHour*(1+PracticeGrowth)^675</f>
        <v>5.7832152901872779E+19</v>
      </c>
      <c r="C677" s="4">
        <f>StudentsY1*(1+StudentGrowth)^675*CreditsPerStudent*TuitionPerCredit</f>
        <v>3.6145095563670487E+20</v>
      </c>
      <c r="D677" s="4">
        <f>SimRevY1*(1+SimGrowth)^675</f>
        <v>4.3554445210541976E+32</v>
      </c>
      <c r="E677" s="4">
        <f>FacDevRevY1*(1+FacDevGrowth)^675</f>
        <v>2.1777222605270988E+32</v>
      </c>
      <c r="F677" s="4">
        <f t="shared" si="40"/>
        <v>6.5331667815849101E+32</v>
      </c>
      <c r="G677" s="4">
        <f t="shared" si="41"/>
        <v>6.533166781585488E+32</v>
      </c>
      <c r="H677" s="4">
        <f>SalaryFTECount*SalaryPerFTE*(1+SalaryGrowth)^675</f>
        <v>6.6027267011957152E+16</v>
      </c>
      <c r="I677" s="4">
        <f>SimOpsY1*(1+SimOpsGrowth)^675</f>
        <v>1.0918329797650334E+27</v>
      </c>
      <c r="J677" s="4">
        <f>TrainDevY1*(1+TrainDevGrowth)^675</f>
        <v>5.4591648988251669E+26</v>
      </c>
      <c r="K677" s="4">
        <f>AdminY1*(1+AdminGrowth)^675</f>
        <v>2.4126206982563457E+21</v>
      </c>
      <c r="L677" s="4">
        <f t="shared" si="42"/>
        <v>1.6377518823342758E+27</v>
      </c>
      <c r="M677" s="4">
        <f t="shared" si="43"/>
        <v>6.5331504040666653E+32</v>
      </c>
    </row>
    <row r="678" spans="1:13" x14ac:dyDescent="0.2">
      <c r="A678" s="3">
        <f>StartYear+676</f>
        <v>2701</v>
      </c>
      <c r="B678" s="4">
        <f>FacultyFTE*HoursPerWeek*WeeksPerYear*RatePerHour*(1+PracticeGrowth)^676</f>
        <v>6.0723760546966413E+19</v>
      </c>
      <c r="C678" s="4">
        <f>StudentsY1*(1+StudentGrowth)^676*CreditsPerStudent*TuitionPerCredit</f>
        <v>3.7952350341854003E+20</v>
      </c>
      <c r="D678" s="4">
        <f>SimRevY1*(1+SimGrowth)^676</f>
        <v>4.7909889731596173E+32</v>
      </c>
      <c r="E678" s="4">
        <f>FacDevRevY1*(1+FacDevGrowth)^676</f>
        <v>2.3954944865798086E+32</v>
      </c>
      <c r="F678" s="4">
        <f t="shared" si="40"/>
        <v>7.1864834597432204E+32</v>
      </c>
      <c r="G678" s="4">
        <f t="shared" si="41"/>
        <v>7.1864834597438272E+32</v>
      </c>
      <c r="H678" s="4">
        <f>SalaryFTECount*SalaryPerFTE*(1+SalaryGrowth)^676</f>
        <v>6.8668357692435432E+16</v>
      </c>
      <c r="I678" s="4">
        <f>SimOpsY1*(1+SimOpsGrowth)^676</f>
        <v>1.1791796181462362E+27</v>
      </c>
      <c r="J678" s="4">
        <f>TrainDevY1*(1+TrainDevGrowth)^676</f>
        <v>5.895898090731181E+26</v>
      </c>
      <c r="K678" s="4">
        <f>AdminY1*(1+AdminGrowth)^676</f>
        <v>2.5573779401517265E+21</v>
      </c>
      <c r="L678" s="4">
        <f t="shared" si="42"/>
        <v>1.7687719846659628E+27</v>
      </c>
      <c r="M678" s="4">
        <f t="shared" si="43"/>
        <v>7.1864657720239802E+32</v>
      </c>
    </row>
    <row r="679" spans="1:13" x14ac:dyDescent="0.2">
      <c r="A679" s="3">
        <f>StartYear+677</f>
        <v>2702</v>
      </c>
      <c r="B679" s="4">
        <f>FacultyFTE*HoursPerWeek*WeeksPerYear*RatePerHour*(1+PracticeGrowth)^677</f>
        <v>6.3759948574314742E+19</v>
      </c>
      <c r="C679" s="4">
        <f>StudentsY1*(1+StudentGrowth)^677*CreditsPerStudent*TuitionPerCredit</f>
        <v>3.9849967858946716E+20</v>
      </c>
      <c r="D679" s="4">
        <f>SimRevY1*(1+SimGrowth)^677</f>
        <v>5.2700878704755787E+32</v>
      </c>
      <c r="E679" s="4">
        <f>FacDevRevY1*(1+FacDevGrowth)^677</f>
        <v>2.6350439352377893E+32</v>
      </c>
      <c r="F679" s="4">
        <f t="shared" si="40"/>
        <v>7.9051318057173528E+32</v>
      </c>
      <c r="G679" s="4">
        <f t="shared" si="41"/>
        <v>7.9051318057179898E+32</v>
      </c>
      <c r="H679" s="4">
        <f>SalaryFTECount*SalaryPerFTE*(1+SalaryGrowth)^677</f>
        <v>7.1415092000132872E+16</v>
      </c>
      <c r="I679" s="4">
        <f>SimOpsY1*(1+SimOpsGrowth)^677</f>
        <v>1.273513987597935E+27</v>
      </c>
      <c r="J679" s="4">
        <f>TrainDevY1*(1+TrainDevGrowth)^677</f>
        <v>6.3675699379896749E+26</v>
      </c>
      <c r="K679" s="4">
        <f>AdminY1*(1+AdminGrowth)^677</f>
        <v>2.7108206165608303E+21</v>
      </c>
      <c r="L679" s="4">
        <f t="shared" si="42"/>
        <v>1.9102736922889343E+27</v>
      </c>
      <c r="M679" s="4">
        <f t="shared" si="43"/>
        <v>7.9051127029810672E+32</v>
      </c>
    </row>
    <row r="680" spans="1:13" x14ac:dyDescent="0.2">
      <c r="A680" s="3">
        <f>StartYear+678</f>
        <v>2703</v>
      </c>
      <c r="B680" s="4">
        <f>FacultyFTE*HoursPerWeek*WeeksPerYear*RatePerHour*(1+PracticeGrowth)^678</f>
        <v>6.6947946003030458E+19</v>
      </c>
      <c r="C680" s="4">
        <f>StudentsY1*(1+StudentGrowth)^678*CreditsPerStudent*TuitionPerCredit</f>
        <v>4.1842466251894037E+20</v>
      </c>
      <c r="D680" s="4">
        <f>SimRevY1*(1+SimGrowth)^678</f>
        <v>5.7970966575231384E+32</v>
      </c>
      <c r="E680" s="4">
        <f>FacDevRevY1*(1+FacDevGrowth)^678</f>
        <v>2.8985483287615692E+32</v>
      </c>
      <c r="F680" s="4">
        <f t="shared" si="40"/>
        <v>8.6956449862888924E+32</v>
      </c>
      <c r="G680" s="4">
        <f t="shared" si="41"/>
        <v>8.6956449862895625E+32</v>
      </c>
      <c r="H680" s="4">
        <f>SalaryFTECount*SalaryPerFTE*(1+SalaryGrowth)^678</f>
        <v>7.427169568013816E+16</v>
      </c>
      <c r="I680" s="4">
        <f>SimOpsY1*(1+SimOpsGrowth)^678</f>
        <v>1.3753951066057701E+27</v>
      </c>
      <c r="J680" s="4">
        <f>TrainDevY1*(1+TrainDevGrowth)^678</f>
        <v>6.8769755330288507E+26</v>
      </c>
      <c r="K680" s="4">
        <f>AdminY1*(1+AdminGrowth)^678</f>
        <v>2.873469853554481E+21</v>
      </c>
      <c r="L680" s="4">
        <f t="shared" si="42"/>
        <v>2.0630955334527806E+27</v>
      </c>
      <c r="M680" s="4">
        <f t="shared" si="43"/>
        <v>8.6956243553342284E+32</v>
      </c>
    </row>
    <row r="681" spans="1:13" x14ac:dyDescent="0.2">
      <c r="A681" s="3">
        <f>StartYear+679</f>
        <v>2704</v>
      </c>
      <c r="B681" s="4">
        <f>FacultyFTE*HoursPerWeek*WeeksPerYear*RatePerHour*(1+PracticeGrowth)^679</f>
        <v>7.0295343303182E+19</v>
      </c>
      <c r="C681" s="4">
        <f>StudentsY1*(1+StudentGrowth)^679*CreditsPerStudent*TuitionPerCredit</f>
        <v>4.3934589564488758E+20</v>
      </c>
      <c r="D681" s="4">
        <f>SimRevY1*(1+SimGrowth)^679</f>
        <v>6.3768063232754519E+32</v>
      </c>
      <c r="E681" s="4">
        <f>FacDevRevY1*(1+FacDevGrowth)^679</f>
        <v>3.188403161637726E+32</v>
      </c>
      <c r="F681" s="4">
        <f t="shared" si="40"/>
        <v>9.565209484917572E+32</v>
      </c>
      <c r="G681" s="4">
        <f t="shared" si="41"/>
        <v>9.5652094849182752E+32</v>
      </c>
      <c r="H681" s="4">
        <f>SalaryFTECount*SalaryPerFTE*(1+SalaryGrowth)^679</f>
        <v>7.724256350734368E+16</v>
      </c>
      <c r="I681" s="4">
        <f>SimOpsY1*(1+SimOpsGrowth)^679</f>
        <v>1.4854267151342317E+27</v>
      </c>
      <c r="J681" s="4">
        <f>TrainDevY1*(1+TrainDevGrowth)^679</f>
        <v>7.4271335756711586E+26</v>
      </c>
      <c r="K681" s="4">
        <f>AdminY1*(1+AdminGrowth)^679</f>
        <v>3.0458780447677497E+21</v>
      </c>
      <c r="L681" s="4">
        <f t="shared" si="42"/>
        <v>2.228143118656635E+27</v>
      </c>
      <c r="M681" s="4">
        <f t="shared" si="43"/>
        <v>9.5651872034870888E+32</v>
      </c>
    </row>
    <row r="682" spans="1:13" x14ac:dyDescent="0.2">
      <c r="A682" s="3">
        <f>StartYear+680</f>
        <v>2705</v>
      </c>
      <c r="B682" s="4">
        <f>FacultyFTE*HoursPerWeek*WeeksPerYear*RatePerHour*(1+PracticeGrowth)^680</f>
        <v>7.3810110468341088E+19</v>
      </c>
      <c r="C682" s="4">
        <f>StudentsY1*(1+StudentGrowth)^680*CreditsPerStudent*TuitionPerCredit</f>
        <v>4.6131319042713177E+20</v>
      </c>
      <c r="D682" s="4">
        <f>SimRevY1*(1+SimGrowth)^680</f>
        <v>7.0144869556029957E+32</v>
      </c>
      <c r="E682" s="4">
        <f>FacDevRevY1*(1+FacDevGrowth)^680</f>
        <v>3.5072434778014978E+32</v>
      </c>
      <c r="F682" s="4">
        <f t="shared" si="40"/>
        <v>1.0521730433409107E+33</v>
      </c>
      <c r="G682" s="4">
        <f t="shared" si="41"/>
        <v>1.0521730433409845E+33</v>
      </c>
      <c r="H682" s="4">
        <f>SalaryFTECount*SalaryPerFTE*(1+SalaryGrowth)^680</f>
        <v>8.0332266047637472E+16</v>
      </c>
      <c r="I682" s="4">
        <f>SimOpsY1*(1+SimOpsGrowth)^680</f>
        <v>1.6042608523449704E+27</v>
      </c>
      <c r="J682" s="4">
        <f>TrainDevY1*(1+TrainDevGrowth)^680</f>
        <v>8.0213042617248519E+26</v>
      </c>
      <c r="K682" s="4">
        <f>AdminY1*(1+AdminGrowth)^680</f>
        <v>3.2286307274538143E+21</v>
      </c>
      <c r="L682" s="4">
        <f t="shared" si="42"/>
        <v>2.4063945072285152E+27</v>
      </c>
      <c r="M682" s="4">
        <f t="shared" si="43"/>
        <v>1.0521706369464772E+33</v>
      </c>
    </row>
    <row r="683" spans="1:13" x14ac:dyDescent="0.2">
      <c r="A683" s="3">
        <f>StartYear+681</f>
        <v>2706</v>
      </c>
      <c r="B683" s="4">
        <f>FacultyFTE*HoursPerWeek*WeeksPerYear*RatePerHour*(1+PracticeGrowth)^681</f>
        <v>7.750061599175816E+19</v>
      </c>
      <c r="C683" s="4">
        <f>StudentsY1*(1+StudentGrowth)^681*CreditsPerStudent*TuitionPerCredit</f>
        <v>4.843788499484885E+20</v>
      </c>
      <c r="D683" s="4">
        <f>SimRevY1*(1+SimGrowth)^681</f>
        <v>7.7159356511632967E+32</v>
      </c>
      <c r="E683" s="4">
        <f>FacDevRevY1*(1+FacDevGrowth)^681</f>
        <v>3.8579678255816483E+32</v>
      </c>
      <c r="F683" s="4">
        <f t="shared" si="40"/>
        <v>1.1573903476749788E+33</v>
      </c>
      <c r="G683" s="4">
        <f t="shared" si="41"/>
        <v>1.1573903476750563E+33</v>
      </c>
      <c r="H683" s="4">
        <f>SalaryFTECount*SalaryPerFTE*(1+SalaryGrowth)^681</f>
        <v>8.354555668954296E+16</v>
      </c>
      <c r="I683" s="4">
        <f>SimOpsY1*(1+SimOpsGrowth)^681</f>
        <v>1.7326017205325682E+27</v>
      </c>
      <c r="J683" s="4">
        <f>TrainDevY1*(1+TrainDevGrowth)^681</f>
        <v>8.6630086026628412E+26</v>
      </c>
      <c r="K683" s="4">
        <f>AdminY1*(1+AdminGrowth)^681</f>
        <v>3.4223485711010434E+21</v>
      </c>
      <c r="L683" s="4">
        <f t="shared" si="42"/>
        <v>2.598906003230969E+27</v>
      </c>
      <c r="M683" s="4">
        <f t="shared" si="43"/>
        <v>1.1573877487690531E+33</v>
      </c>
    </row>
    <row r="684" spans="1:13" x14ac:dyDescent="0.2">
      <c r="A684" s="3">
        <f>StartYear+682</f>
        <v>2707</v>
      </c>
      <c r="B684" s="4">
        <f>FacultyFTE*HoursPerWeek*WeeksPerYear*RatePerHour*(1+PracticeGrowth)^682</f>
        <v>8.1375646791346061E+19</v>
      </c>
      <c r="C684" s="4">
        <f>StudentsY1*(1+StudentGrowth)^682*CreditsPerStudent*TuitionPerCredit</f>
        <v>5.0859779244591284E+20</v>
      </c>
      <c r="D684" s="4">
        <f>SimRevY1*(1+SimGrowth)^682</f>
        <v>8.4875292162796256E+32</v>
      </c>
      <c r="E684" s="4">
        <f>FacDevRevY1*(1+FacDevGrowth)^682</f>
        <v>4.2437646081398128E+32</v>
      </c>
      <c r="F684" s="4">
        <f t="shared" si="40"/>
        <v>1.2731293824424525E+33</v>
      </c>
      <c r="G684" s="4">
        <f t="shared" si="41"/>
        <v>1.2731293824425339E+33</v>
      </c>
      <c r="H684" s="4">
        <f>SalaryFTECount*SalaryPerFTE*(1+SalaryGrowth)^682</f>
        <v>8.6887378957124672E+16</v>
      </c>
      <c r="I684" s="4">
        <f>SimOpsY1*(1+SimOpsGrowth)^682</f>
        <v>1.8712098581751735E+27</v>
      </c>
      <c r="J684" s="4">
        <f>TrainDevY1*(1+TrainDevGrowth)^682</f>
        <v>9.3560492908758674E+26</v>
      </c>
      <c r="K684" s="4">
        <f>AdminY1*(1+AdminGrowth)^682</f>
        <v>3.6276894853671063E+21</v>
      </c>
      <c r="L684" s="4">
        <f t="shared" si="42"/>
        <v>2.8068184150391326E+27</v>
      </c>
      <c r="M684" s="4">
        <f t="shared" si="43"/>
        <v>1.273126575624119E+33</v>
      </c>
    </row>
    <row r="685" spans="1:13" x14ac:dyDescent="0.2">
      <c r="A685" s="3">
        <f>StartYear+683</f>
        <v>2708</v>
      </c>
      <c r="B685" s="4">
        <f>FacultyFTE*HoursPerWeek*WeeksPerYear*RatePerHour*(1+PracticeGrowth)^683</f>
        <v>8.5444429130913366E+19</v>
      </c>
      <c r="C685" s="4">
        <f>StudentsY1*(1+StudentGrowth)^683*CreditsPerStudent*TuitionPerCredit</f>
        <v>5.3402768206820862E+20</v>
      </c>
      <c r="D685" s="4">
        <f>SimRevY1*(1+SimGrowth)^683</f>
        <v>9.3362821379075912E+32</v>
      </c>
      <c r="E685" s="4">
        <f>FacDevRevY1*(1+FacDevGrowth)^683</f>
        <v>4.6681410689537956E+32</v>
      </c>
      <c r="F685" s="4">
        <f t="shared" si="40"/>
        <v>1.4004423206866728E+33</v>
      </c>
      <c r="G685" s="4">
        <f t="shared" si="41"/>
        <v>1.4004423206867582E+33</v>
      </c>
      <c r="H685" s="4">
        <f>SalaryFTECount*SalaryPerFTE*(1+SalaryGrowth)^683</f>
        <v>9.036287411540968E+16</v>
      </c>
      <c r="I685" s="4">
        <f>SimOpsY1*(1+SimOpsGrowth)^683</f>
        <v>2.0209066468291872E+27</v>
      </c>
      <c r="J685" s="4">
        <f>TrainDevY1*(1+TrainDevGrowth)^683</f>
        <v>1.0104533234145936E+27</v>
      </c>
      <c r="K685" s="4">
        <f>AdminY1*(1+AdminGrowth)^683</f>
        <v>3.8453508544891333E+21</v>
      </c>
      <c r="L685" s="4">
        <f t="shared" si="42"/>
        <v>3.0313638156849979E+27</v>
      </c>
      <c r="M685" s="4">
        <f t="shared" si="43"/>
        <v>1.4004392893229424E+33</v>
      </c>
    </row>
    <row r="686" spans="1:13" x14ac:dyDescent="0.2">
      <c r="A686" s="3">
        <f>StartYear+684</f>
        <v>2709</v>
      </c>
      <c r="B686" s="4">
        <f>FacultyFTE*HoursPerWeek*WeeksPerYear*RatePerHour*(1+PracticeGrowth)^684</f>
        <v>8.9716650587459027E+19</v>
      </c>
      <c r="C686" s="4">
        <f>StudentsY1*(1+StudentGrowth)^684*CreditsPerStudent*TuitionPerCredit</f>
        <v>5.6072906617161895E+20</v>
      </c>
      <c r="D686" s="4">
        <f>SimRevY1*(1+SimGrowth)^684</f>
        <v>1.0269910351698351E+33</v>
      </c>
      <c r="E686" s="4">
        <f>FacDevRevY1*(1+FacDevGrowth)^684</f>
        <v>5.1349551758491757E+32</v>
      </c>
      <c r="F686" s="4">
        <f t="shared" si="40"/>
        <v>1.5404865527553135E+33</v>
      </c>
      <c r="G686" s="4">
        <f t="shared" si="41"/>
        <v>1.5404865527554032E+33</v>
      </c>
      <c r="H686" s="4">
        <f>SalaryFTECount*SalaryPerFTE*(1+SalaryGrowth)^684</f>
        <v>9.3977389080026064E+16</v>
      </c>
      <c r="I686" s="4">
        <f>SimOpsY1*(1+SimOpsGrowth)^684</f>
        <v>2.1825791785755225E+27</v>
      </c>
      <c r="J686" s="4">
        <f>TrainDevY1*(1+TrainDevGrowth)^684</f>
        <v>1.0912895892877612E+27</v>
      </c>
      <c r="K686" s="4">
        <f>AdminY1*(1+AdminGrowth)^684</f>
        <v>4.0760719057584815E+21</v>
      </c>
      <c r="L686" s="4">
        <f t="shared" si="42"/>
        <v>3.2738728440291668E+27</v>
      </c>
      <c r="M686" s="4">
        <f t="shared" si="43"/>
        <v>1.5404832788825591E+33</v>
      </c>
    </row>
    <row r="687" spans="1:13" x14ac:dyDescent="0.2">
      <c r="A687" s="3">
        <f>StartYear+685</f>
        <v>2710</v>
      </c>
      <c r="B687" s="4">
        <f>FacultyFTE*HoursPerWeek*WeeksPerYear*RatePerHour*(1+PracticeGrowth)^685</f>
        <v>9.4202483116832014E+19</v>
      </c>
      <c r="C687" s="4">
        <f>StudentsY1*(1+StudentGrowth)^685*CreditsPerStudent*TuitionPerCredit</f>
        <v>5.8876551948020004E+20</v>
      </c>
      <c r="D687" s="4">
        <f>SimRevY1*(1+SimGrowth)^685</f>
        <v>1.1296901386868186E+33</v>
      </c>
      <c r="E687" s="4">
        <f>FacDevRevY1*(1+FacDevGrowth)^685</f>
        <v>5.648450693434093E+32</v>
      </c>
      <c r="F687" s="4">
        <f t="shared" si="40"/>
        <v>1.6945352080308165E+33</v>
      </c>
      <c r="G687" s="4">
        <f t="shared" si="41"/>
        <v>1.6945352080309108E+33</v>
      </c>
      <c r="H687" s="4">
        <f>SalaryFTECount*SalaryPerFTE*(1+SalaryGrowth)^685</f>
        <v>9.773648464322712E+16</v>
      </c>
      <c r="I687" s="4">
        <f>SimOpsY1*(1+SimOpsGrowth)^685</f>
        <v>2.3571855128615645E+27</v>
      </c>
      <c r="J687" s="4">
        <f>TrainDevY1*(1+TrainDevGrowth)^685</f>
        <v>1.1785927564307822E+27</v>
      </c>
      <c r="K687" s="4">
        <f>AdminY1*(1+AdminGrowth)^685</f>
        <v>4.3206362201039904E+21</v>
      </c>
      <c r="L687" s="4">
        <f t="shared" si="42"/>
        <v>3.5357825900263033E+27</v>
      </c>
      <c r="M687" s="4">
        <f t="shared" si="43"/>
        <v>1.6945316722483207E+33</v>
      </c>
    </row>
    <row r="688" spans="1:13" x14ac:dyDescent="0.2">
      <c r="A688" s="3">
        <f>StartYear+686</f>
        <v>2711</v>
      </c>
      <c r="B688" s="4">
        <f>FacultyFTE*HoursPerWeek*WeeksPerYear*RatePerHour*(1+PracticeGrowth)^686</f>
        <v>9.8912607272673591E+19</v>
      </c>
      <c r="C688" s="4">
        <f>StudentsY1*(1+StudentGrowth)^686*CreditsPerStudent*TuitionPerCredit</f>
        <v>6.1820379545420995E+20</v>
      </c>
      <c r="D688" s="4">
        <f>SimRevY1*(1+SimGrowth)^686</f>
        <v>1.2426591525555007E+33</v>
      </c>
      <c r="E688" s="4">
        <f>FacDevRevY1*(1+FacDevGrowth)^686</f>
        <v>6.2132957627775033E+32</v>
      </c>
      <c r="F688" s="4">
        <f t="shared" si="40"/>
        <v>1.8639887288338694E+33</v>
      </c>
      <c r="G688" s="4">
        <f t="shared" si="41"/>
        <v>1.8639887288339682E+33</v>
      </c>
      <c r="H688" s="4">
        <f>SalaryFTECount*SalaryPerFTE*(1+SalaryGrowth)^686</f>
        <v>1.0164594402895619E+17</v>
      </c>
      <c r="I688" s="4">
        <f>SimOpsY1*(1+SimOpsGrowth)^686</f>
        <v>2.5457603538904901E+27</v>
      </c>
      <c r="J688" s="4">
        <f>TrainDevY1*(1+TrainDevGrowth)^686</f>
        <v>1.272880176945245E+27</v>
      </c>
      <c r="K688" s="4">
        <f>AdminY1*(1+AdminGrowth)^686</f>
        <v>4.5798743933102305E+21</v>
      </c>
      <c r="L688" s="4">
        <f t="shared" si="42"/>
        <v>3.8186451108117747E+27</v>
      </c>
      <c r="M688" s="4">
        <f t="shared" si="43"/>
        <v>1.8639849101888575E+33</v>
      </c>
    </row>
    <row r="689" spans="1:13" x14ac:dyDescent="0.2">
      <c r="A689" s="3">
        <f>StartYear+687</f>
        <v>2712</v>
      </c>
      <c r="B689" s="4">
        <f>FacultyFTE*HoursPerWeek*WeeksPerYear*RatePerHour*(1+PracticeGrowth)^687</f>
        <v>1.0385823763630729E+20</v>
      </c>
      <c r="C689" s="4">
        <f>StudentsY1*(1+StudentGrowth)^687*CreditsPerStudent*TuitionPerCredit</f>
        <v>6.4911398522692043E+20</v>
      </c>
      <c r="D689" s="4">
        <f>SimRevY1*(1+SimGrowth)^687</f>
        <v>1.3669250678110509E+33</v>
      </c>
      <c r="E689" s="4">
        <f>FacDevRevY1*(1+FacDevGrowth)^687</f>
        <v>6.8346253390552546E+32</v>
      </c>
      <c r="F689" s="4">
        <f t="shared" si="40"/>
        <v>2.0503876017172255E+33</v>
      </c>
      <c r="G689" s="4">
        <f t="shared" si="41"/>
        <v>2.0503876017173292E+33</v>
      </c>
      <c r="H689" s="4">
        <f>SalaryFTECount*SalaryPerFTE*(1+SalaryGrowth)^687</f>
        <v>1.0571178179011445E+17</v>
      </c>
      <c r="I689" s="4">
        <f>SimOpsY1*(1+SimOpsGrowth)^687</f>
        <v>2.7494211822017292E+27</v>
      </c>
      <c r="J689" s="4">
        <f>TrainDevY1*(1+TrainDevGrowth)^687</f>
        <v>1.3747105911008646E+27</v>
      </c>
      <c r="K689" s="4">
        <f>AdminY1*(1+AdminGrowth)^687</f>
        <v>4.854666856908845E+21</v>
      </c>
      <c r="L689" s="4">
        <f t="shared" si="42"/>
        <v>4.1241366280751627E+27</v>
      </c>
      <c r="M689" s="4">
        <f t="shared" si="43"/>
        <v>2.0503834775807011E+33</v>
      </c>
    </row>
    <row r="690" spans="1:13" x14ac:dyDescent="0.2">
      <c r="A690" s="3">
        <f>StartYear+688</f>
        <v>2713</v>
      </c>
      <c r="B690" s="4">
        <f>FacultyFTE*HoursPerWeek*WeeksPerYear*RatePerHour*(1+PracticeGrowth)^688</f>
        <v>1.0905114951812265E+20</v>
      </c>
      <c r="C690" s="4">
        <f>StudentsY1*(1+StudentGrowth)^688*CreditsPerStudent*TuitionPerCredit</f>
        <v>6.8156968448826645E+20</v>
      </c>
      <c r="D690" s="4">
        <f>SimRevY1*(1+SimGrowth)^688</f>
        <v>1.5036175745921558E+33</v>
      </c>
      <c r="E690" s="4">
        <f>FacDevRevY1*(1+FacDevGrowth)^688</f>
        <v>7.5180878729607789E+32</v>
      </c>
      <c r="F690" s="4">
        <f t="shared" si="40"/>
        <v>2.2554263618889152E+33</v>
      </c>
      <c r="G690" s="4">
        <f t="shared" si="41"/>
        <v>2.2554263618890241E+33</v>
      </c>
      <c r="H690" s="4">
        <f>SalaryFTECount*SalaryPerFTE*(1+SalaryGrowth)^688</f>
        <v>1.0994025306171904E+17</v>
      </c>
      <c r="I690" s="4">
        <f>SimOpsY1*(1+SimOpsGrowth)^688</f>
        <v>2.9693748767778673E+27</v>
      </c>
      <c r="J690" s="4">
        <f>TrainDevY1*(1+TrainDevGrowth)^688</f>
        <v>1.4846874383889337E+27</v>
      </c>
      <c r="K690" s="4">
        <f>AdminY1*(1+AdminGrowth)^688</f>
        <v>5.1459468683233743E+21</v>
      </c>
      <c r="L690" s="4">
        <f t="shared" si="42"/>
        <v>4.4540674612236097E+27</v>
      </c>
      <c r="M690" s="4">
        <f t="shared" si="43"/>
        <v>2.255421907821563E+33</v>
      </c>
    </row>
    <row r="691" spans="1:13" x14ac:dyDescent="0.2">
      <c r="A691" s="3">
        <f>StartYear+689</f>
        <v>2714</v>
      </c>
      <c r="B691" s="4">
        <f>FacultyFTE*HoursPerWeek*WeeksPerYear*RatePerHour*(1+PracticeGrowth)^689</f>
        <v>1.1450370699402879E+20</v>
      </c>
      <c r="C691" s="4">
        <f>StudentsY1*(1+StudentGrowth)^689*CreditsPerStudent*TuitionPerCredit</f>
        <v>7.1564816871267998E+20</v>
      </c>
      <c r="D691" s="4">
        <f>SimRevY1*(1+SimGrowth)^689</f>
        <v>1.6539793320513716E+33</v>
      </c>
      <c r="E691" s="4">
        <f>FacDevRevY1*(1+FacDevGrowth)^689</f>
        <v>8.2698966602568581E+32</v>
      </c>
      <c r="F691" s="4">
        <f t="shared" si="40"/>
        <v>2.4809689980777731E+33</v>
      </c>
      <c r="G691" s="4">
        <f t="shared" si="41"/>
        <v>2.4809689980778875E+33</v>
      </c>
      <c r="H691" s="4">
        <f>SalaryFTECount*SalaryPerFTE*(1+SalaryGrowth)^689</f>
        <v>1.1433786318418781E+17</v>
      </c>
      <c r="I691" s="4">
        <f>SimOpsY1*(1+SimOpsGrowth)^689</f>
        <v>3.2069248669200973E+27</v>
      </c>
      <c r="J691" s="4">
        <f>TrainDevY1*(1+TrainDevGrowth)^689</f>
        <v>1.6034624334600487E+27</v>
      </c>
      <c r="K691" s="4">
        <f>AdminY1*(1+AdminGrowth)^689</f>
        <v>5.4547036804227772E+21</v>
      </c>
      <c r="L691" s="4">
        <f t="shared" si="42"/>
        <v>4.8103927551981643E+27</v>
      </c>
      <c r="M691" s="4">
        <f t="shared" si="43"/>
        <v>2.4809641876851324E+33</v>
      </c>
    </row>
    <row r="692" spans="1:13" x14ac:dyDescent="0.2">
      <c r="A692" s="3">
        <f>StartYear+690</f>
        <v>2715</v>
      </c>
      <c r="B692" s="4">
        <f>FacultyFTE*HoursPerWeek*WeeksPerYear*RatePerHour*(1+PracticeGrowth)^690</f>
        <v>1.2022889234373024E+20</v>
      </c>
      <c r="C692" s="4">
        <f>StudentsY1*(1+StudentGrowth)^690*CreditsPerStudent*TuitionPerCredit</f>
        <v>7.5143057714831386E+20</v>
      </c>
      <c r="D692" s="4">
        <f>SimRevY1*(1+SimGrowth)^690</f>
        <v>1.8193772652565089E+33</v>
      </c>
      <c r="E692" s="4">
        <f>FacDevRevY1*(1+FacDevGrowth)^690</f>
        <v>9.0968863262825445E+32</v>
      </c>
      <c r="F692" s="4">
        <f t="shared" si="40"/>
        <v>2.7290658978855146E+33</v>
      </c>
      <c r="G692" s="4">
        <f t="shared" si="41"/>
        <v>2.7290658978856351E+33</v>
      </c>
      <c r="H692" s="4">
        <f>SalaryFTECount*SalaryPerFTE*(1+SalaryGrowth)^690</f>
        <v>1.1891137771155531E+17</v>
      </c>
      <c r="I692" s="4">
        <f>SimOpsY1*(1+SimOpsGrowth)^690</f>
        <v>3.4634788562737051E+27</v>
      </c>
      <c r="J692" s="4">
        <f>TrainDevY1*(1+TrainDevGrowth)^690</f>
        <v>1.7317394281368525E+27</v>
      </c>
      <c r="K692" s="4">
        <f>AdminY1*(1+AdminGrowth)^690</f>
        <v>5.7819859012481429E+21</v>
      </c>
      <c r="L692" s="4">
        <f t="shared" si="42"/>
        <v>5.1952240665153712E+27</v>
      </c>
      <c r="M692" s="4">
        <f t="shared" si="43"/>
        <v>2.7290607026615687E+33</v>
      </c>
    </row>
    <row r="693" spans="1:13" x14ac:dyDescent="0.2">
      <c r="A693" s="3">
        <f>StartYear+691</f>
        <v>2716</v>
      </c>
      <c r="B693" s="4">
        <f>FacultyFTE*HoursPerWeek*WeeksPerYear*RatePerHour*(1+PracticeGrowth)^691</f>
        <v>1.2624033696091673E+20</v>
      </c>
      <c r="C693" s="4">
        <f>StudentsY1*(1+StudentGrowth)^691*CreditsPerStudent*TuitionPerCredit</f>
        <v>7.8900210600572957E+20</v>
      </c>
      <c r="D693" s="4">
        <f>SimRevY1*(1+SimGrowth)^691</f>
        <v>2.0013149917821602E+33</v>
      </c>
      <c r="E693" s="4">
        <f>FacDevRevY1*(1+FacDevGrowth)^691</f>
        <v>1.0006574958910801E+33</v>
      </c>
      <c r="F693" s="4">
        <f t="shared" si="40"/>
        <v>3.0019724876740288E+33</v>
      </c>
      <c r="G693" s="4">
        <f t="shared" si="41"/>
        <v>3.0019724876741551E+33</v>
      </c>
      <c r="H693" s="4">
        <f>SalaryFTECount*SalaryPerFTE*(1+SalaryGrowth)^691</f>
        <v>1.2366783282001755E+17</v>
      </c>
      <c r="I693" s="4">
        <f>SimOpsY1*(1+SimOpsGrowth)^691</f>
        <v>3.7405571647756019E+27</v>
      </c>
      <c r="J693" s="4">
        <f>TrainDevY1*(1+TrainDevGrowth)^691</f>
        <v>1.8702785823878009E+27</v>
      </c>
      <c r="K693" s="4">
        <f>AdminY1*(1+AdminGrowth)^691</f>
        <v>6.1289050553230337E+21</v>
      </c>
      <c r="L693" s="4">
        <f t="shared" si="42"/>
        <v>5.6108418761921251E+27</v>
      </c>
      <c r="M693" s="4">
        <f t="shared" si="43"/>
        <v>3.0019668768322787E+33</v>
      </c>
    </row>
    <row r="694" spans="1:13" x14ac:dyDescent="0.2">
      <c r="A694" s="3">
        <f>StartYear+692</f>
        <v>2717</v>
      </c>
      <c r="B694" s="4">
        <f>FacultyFTE*HoursPerWeek*WeeksPerYear*RatePerHour*(1+PracticeGrowth)^692</f>
        <v>1.3255235380896257E+20</v>
      </c>
      <c r="C694" s="4">
        <f>StudentsY1*(1+StudentGrowth)^692*CreditsPerStudent*TuitionPerCredit</f>
        <v>8.2845221130601601E+20</v>
      </c>
      <c r="D694" s="4">
        <f>SimRevY1*(1+SimGrowth)^692</f>
        <v>2.2014464909603762E+33</v>
      </c>
      <c r="E694" s="4">
        <f>FacDevRevY1*(1+FacDevGrowth)^692</f>
        <v>1.1007232454801881E+33</v>
      </c>
      <c r="F694" s="4">
        <f t="shared" si="40"/>
        <v>3.3021697364413929E+33</v>
      </c>
      <c r="G694" s="4">
        <f t="shared" si="41"/>
        <v>3.3021697364415255E+33</v>
      </c>
      <c r="H694" s="4">
        <f>SalaryFTECount*SalaryPerFTE*(1+SalaryGrowth)^692</f>
        <v>1.2861454613281826E+17</v>
      </c>
      <c r="I694" s="4">
        <f>SimOpsY1*(1+SimOpsGrowth)^692</f>
        <v>4.0398017379576499E+27</v>
      </c>
      <c r="J694" s="4">
        <f>TrainDevY1*(1+TrainDevGrowth)^692</f>
        <v>2.019900868978825E+27</v>
      </c>
      <c r="K694" s="4">
        <f>AdminY1*(1+AdminGrowth)^692</f>
        <v>6.4966393586424155E+21</v>
      </c>
      <c r="L694" s="4">
        <f t="shared" si="42"/>
        <v>6.0597091037044478E+27</v>
      </c>
      <c r="M694" s="4">
        <f t="shared" si="43"/>
        <v>3.3021636767324216E+33</v>
      </c>
    </row>
    <row r="695" spans="1:13" x14ac:dyDescent="0.2">
      <c r="A695" s="3">
        <f>StartYear+693</f>
        <v>2718</v>
      </c>
      <c r="B695" s="4">
        <f>FacultyFTE*HoursPerWeek*WeeksPerYear*RatePerHour*(1+PracticeGrowth)^693</f>
        <v>1.391799714994107E+20</v>
      </c>
      <c r="C695" s="4">
        <f>StudentsY1*(1+StudentGrowth)^693*CreditsPerStudent*TuitionPerCredit</f>
        <v>8.6987482187131689E+20</v>
      </c>
      <c r="D695" s="4">
        <f>SimRevY1*(1+SimGrowth)^693</f>
        <v>2.4215911400564139E+33</v>
      </c>
      <c r="E695" s="4">
        <f>FacDevRevY1*(1+FacDevGrowth)^693</f>
        <v>1.210795570028207E+33</v>
      </c>
      <c r="F695" s="4">
        <f t="shared" si="40"/>
        <v>3.6323867100854907E+33</v>
      </c>
      <c r="G695" s="4">
        <f t="shared" si="41"/>
        <v>3.6323867100856296E+33</v>
      </c>
      <c r="H695" s="4">
        <f>SalaryFTECount*SalaryPerFTE*(1+SalaryGrowth)^693</f>
        <v>1.3375912797813099E+17</v>
      </c>
      <c r="I695" s="4">
        <f>SimOpsY1*(1+SimOpsGrowth)^693</f>
        <v>4.3629858769942614E+27</v>
      </c>
      <c r="J695" s="4">
        <f>TrainDevY1*(1+TrainDevGrowth)^693</f>
        <v>2.1814929384971307E+27</v>
      </c>
      <c r="K695" s="4">
        <f>AdminY1*(1+AdminGrowth)^693</f>
        <v>6.8864377201609629E+21</v>
      </c>
      <c r="L695" s="4">
        <f t="shared" si="42"/>
        <v>6.5444857020628713E+27</v>
      </c>
      <c r="M695" s="4">
        <f t="shared" si="43"/>
        <v>3.6323801655999273E+33</v>
      </c>
    </row>
    <row r="696" spans="1:13" x14ac:dyDescent="0.2">
      <c r="A696" s="3">
        <f>StartYear+694</f>
        <v>2719</v>
      </c>
      <c r="B696" s="4">
        <f>FacultyFTE*HoursPerWeek*WeeksPerYear*RatePerHour*(1+PracticeGrowth)^694</f>
        <v>1.4613897007438121E+20</v>
      </c>
      <c r="C696" s="4">
        <f>StudentsY1*(1+StudentGrowth)^694*CreditsPerStudent*TuitionPerCredit</f>
        <v>9.1336856296488252E+20</v>
      </c>
      <c r="D696" s="4">
        <f>SimRevY1*(1+SimGrowth)^694</f>
        <v>2.6637502540620555E+33</v>
      </c>
      <c r="E696" s="4">
        <f>FacDevRevY1*(1+FacDevGrowth)^694</f>
        <v>1.3318751270310278E+33</v>
      </c>
      <c r="F696" s="4">
        <f t="shared" si="40"/>
        <v>3.9956253810939964E+33</v>
      </c>
      <c r="G696" s="4">
        <f t="shared" si="41"/>
        <v>3.9956253810941428E+33</v>
      </c>
      <c r="H696" s="4">
        <f>SalaryFTECount*SalaryPerFTE*(1+SalaryGrowth)^694</f>
        <v>1.3910949309725626E+17</v>
      </c>
      <c r="I696" s="4">
        <f>SimOpsY1*(1+SimOpsGrowth)^694</f>
        <v>4.7120247471538039E+27</v>
      </c>
      <c r="J696" s="4">
        <f>TrainDevY1*(1+TrainDevGrowth)^694</f>
        <v>2.356012373576902E+27</v>
      </c>
      <c r="K696" s="4">
        <f>AdminY1*(1+AdminGrowth)^694</f>
        <v>7.2996239833706204E+21</v>
      </c>
      <c r="L696" s="4">
        <f t="shared" si="42"/>
        <v>7.0680444204937989E+27</v>
      </c>
      <c r="M696" s="4">
        <f t="shared" si="43"/>
        <v>3.9956183130497226E+33</v>
      </c>
    </row>
    <row r="697" spans="1:13" x14ac:dyDescent="0.2">
      <c r="A697" s="3">
        <f>StartYear+695</f>
        <v>2720</v>
      </c>
      <c r="B697" s="4">
        <f>FacultyFTE*HoursPerWeek*WeeksPerYear*RatePerHour*(1+PracticeGrowth)^695</f>
        <v>1.5344591857810031E+20</v>
      </c>
      <c r="C697" s="4">
        <f>StudentsY1*(1+StudentGrowth)^695*CreditsPerStudent*TuitionPerCredit</f>
        <v>9.5903699111312687E+20</v>
      </c>
      <c r="D697" s="4">
        <f>SimRevY1*(1+SimGrowth)^695</f>
        <v>2.9301252794682616E+33</v>
      </c>
      <c r="E697" s="4">
        <f>FacDevRevY1*(1+FacDevGrowth)^695</f>
        <v>1.4650626397341308E+33</v>
      </c>
      <c r="F697" s="4">
        <f t="shared" si="40"/>
        <v>4.3951879192033516E+33</v>
      </c>
      <c r="G697" s="4">
        <f t="shared" si="41"/>
        <v>4.3951879192035049E+33</v>
      </c>
      <c r="H697" s="4">
        <f>SalaryFTECount*SalaryPerFTE*(1+SalaryGrowth)^695</f>
        <v>1.4467387282114646E+17</v>
      </c>
      <c r="I697" s="4">
        <f>SimOpsY1*(1+SimOpsGrowth)^695</f>
        <v>5.0889867269261071E+27</v>
      </c>
      <c r="J697" s="4">
        <f>TrainDevY1*(1+TrainDevGrowth)^695</f>
        <v>2.5444933634630536E+27</v>
      </c>
      <c r="K697" s="4">
        <f>AdminY1*(1+AdminGrowth)^695</f>
        <v>7.737601422372858E+21</v>
      </c>
      <c r="L697" s="4">
        <f t="shared" si="42"/>
        <v>7.6334878281352567E+27</v>
      </c>
      <c r="M697" s="4">
        <f t="shared" si="43"/>
        <v>4.3951802857156768E+33</v>
      </c>
    </row>
    <row r="698" spans="1:13" x14ac:dyDescent="0.2">
      <c r="A698" s="3">
        <f>StartYear+696</f>
        <v>2721</v>
      </c>
      <c r="B698" s="4">
        <f>FacultyFTE*HoursPerWeek*WeeksPerYear*RatePerHour*(1+PracticeGrowth)^696</f>
        <v>1.6111821450700531E+20</v>
      </c>
      <c r="C698" s="4">
        <f>StudentsY1*(1+StudentGrowth)^696*CreditsPerStudent*TuitionPerCredit</f>
        <v>1.0069888406687831E+21</v>
      </c>
      <c r="D698" s="4">
        <f>SimRevY1*(1+SimGrowth)^696</f>
        <v>3.2231378074150868E+33</v>
      </c>
      <c r="E698" s="4">
        <f>FacDevRevY1*(1+FacDevGrowth)^696</f>
        <v>1.6115689037075434E+33</v>
      </c>
      <c r="F698" s="4">
        <f t="shared" si="40"/>
        <v>4.8347067111236373E+33</v>
      </c>
      <c r="G698" s="4">
        <f t="shared" si="41"/>
        <v>4.8347067111237981E+33</v>
      </c>
      <c r="H698" s="4">
        <f>SalaryFTECount*SalaryPerFTE*(1+SalaryGrowth)^696</f>
        <v>1.5046082773399235E+17</v>
      </c>
      <c r="I698" s="4">
        <f>SimOpsY1*(1+SimOpsGrowth)^696</f>
        <v>5.4961056650801957E+27</v>
      </c>
      <c r="J698" s="4">
        <f>TrainDevY1*(1+TrainDevGrowth)^696</f>
        <v>2.7480528325400979E+27</v>
      </c>
      <c r="K698" s="4">
        <f>AdminY1*(1+AdminGrowth)^696</f>
        <v>8.2018575077152286E+21</v>
      </c>
      <c r="L698" s="4">
        <f t="shared" si="42"/>
        <v>8.2441666996282618E+27</v>
      </c>
      <c r="M698" s="4">
        <f t="shared" si="43"/>
        <v>4.8346984669570983E+33</v>
      </c>
    </row>
    <row r="699" spans="1:13" x14ac:dyDescent="0.2">
      <c r="A699" s="3">
        <f>StartYear+697</f>
        <v>2722</v>
      </c>
      <c r="B699" s="4">
        <f>FacultyFTE*HoursPerWeek*WeeksPerYear*RatePerHour*(1+PracticeGrowth)^697</f>
        <v>1.6917412523235561E+20</v>
      </c>
      <c r="C699" s="4">
        <f>StudentsY1*(1+StudentGrowth)^697*CreditsPerStudent*TuitionPerCredit</f>
        <v>1.0573382827022225E+21</v>
      </c>
      <c r="D699" s="4">
        <f>SimRevY1*(1+SimGrowth)^697</f>
        <v>3.5454515881565964E+33</v>
      </c>
      <c r="E699" s="4">
        <f>FacDevRevY1*(1+FacDevGrowth)^697</f>
        <v>1.7727257940782982E+33</v>
      </c>
      <c r="F699" s="4">
        <f t="shared" si="40"/>
        <v>5.3181773822359524E+33</v>
      </c>
      <c r="G699" s="4">
        <f t="shared" si="41"/>
        <v>5.3181773822361219E+33</v>
      </c>
      <c r="H699" s="4">
        <f>SalaryFTECount*SalaryPerFTE*(1+SalaryGrowth)^697</f>
        <v>1.564792608433521E+17</v>
      </c>
      <c r="I699" s="4">
        <f>SimOpsY1*(1+SimOpsGrowth)^697</f>
        <v>5.9357941182866134E+27</v>
      </c>
      <c r="J699" s="4">
        <f>TrainDevY1*(1+TrainDevGrowth)^697</f>
        <v>2.9678970591433067E+27</v>
      </c>
      <c r="K699" s="4">
        <f>AdminY1*(1+AdminGrowth)^697</f>
        <v>8.6939689581781419E+21</v>
      </c>
      <c r="L699" s="4">
        <f t="shared" si="42"/>
        <v>8.9036998715553571E+27</v>
      </c>
      <c r="M699" s="4">
        <f t="shared" si="43"/>
        <v>5.3181684785362505E+33</v>
      </c>
    </row>
    <row r="700" spans="1:13" x14ac:dyDescent="0.2">
      <c r="A700" s="3">
        <f>StartYear+698</f>
        <v>2723</v>
      </c>
      <c r="B700" s="4">
        <f>FacultyFTE*HoursPerWeek*WeeksPerYear*RatePerHour*(1+PracticeGrowth)^698</f>
        <v>1.7763283149397338E+20</v>
      </c>
      <c r="C700" s="4">
        <f>StudentsY1*(1+StudentGrowth)^698*CreditsPerStudent*TuitionPerCredit</f>
        <v>1.1102051968373336E+21</v>
      </c>
      <c r="D700" s="4">
        <f>SimRevY1*(1+SimGrowth)^698</f>
        <v>3.8999967469722559E+33</v>
      </c>
      <c r="E700" s="4">
        <f>FacDevRevY1*(1+FacDevGrowth)^698</f>
        <v>1.949998373486128E+33</v>
      </c>
      <c r="F700" s="4">
        <f t="shared" si="40"/>
        <v>5.8499951204594941E+33</v>
      </c>
      <c r="G700" s="4">
        <f t="shared" si="41"/>
        <v>5.8499951204596717E+33</v>
      </c>
      <c r="H700" s="4">
        <f>SalaryFTECount*SalaryPerFTE*(1+SalaryGrowth)^698</f>
        <v>1.6273843127708611E+17</v>
      </c>
      <c r="I700" s="4">
        <f>SimOpsY1*(1+SimOpsGrowth)^698</f>
        <v>6.4106576477495427E+27</v>
      </c>
      <c r="J700" s="4">
        <f>TrainDevY1*(1+TrainDevGrowth)^698</f>
        <v>3.2053288238747714E+27</v>
      </c>
      <c r="K700" s="4">
        <f>AdminY1*(1+AdminGrowth)^698</f>
        <v>9.2156070956688306E+21</v>
      </c>
      <c r="L700" s="4">
        <f t="shared" si="42"/>
        <v>9.6159956873941483E+27</v>
      </c>
      <c r="M700" s="4">
        <f t="shared" si="43"/>
        <v>5.8499855044639842E+33</v>
      </c>
    </row>
    <row r="701" spans="1:13" x14ac:dyDescent="0.2">
      <c r="A701" s="3">
        <f>StartYear+699</f>
        <v>2724</v>
      </c>
      <c r="B701" s="4">
        <f>FacultyFTE*HoursPerWeek*WeeksPerYear*RatePerHour*(1+PracticeGrowth)^699</f>
        <v>1.8651447306867202E+20</v>
      </c>
      <c r="C701" s="4">
        <f>StudentsY1*(1+StudentGrowth)^699*CreditsPerStudent*TuitionPerCredit</f>
        <v>1.1657154566792003E+21</v>
      </c>
      <c r="D701" s="4">
        <f>SimRevY1*(1+SimGrowth)^699</f>
        <v>4.2899964216694831E+33</v>
      </c>
      <c r="E701" s="4">
        <f>FacDevRevY1*(1+FacDevGrowth)^699</f>
        <v>2.1449982108347416E+33</v>
      </c>
      <c r="F701" s="4">
        <f t="shared" si="40"/>
        <v>6.4349946325053909E+33</v>
      </c>
      <c r="G701" s="4">
        <f t="shared" si="41"/>
        <v>6.4349946325055776E+33</v>
      </c>
      <c r="H701" s="4">
        <f>SalaryFTECount*SalaryPerFTE*(1+SalaryGrowth)^699</f>
        <v>1.692479685281696E+17</v>
      </c>
      <c r="I701" s="4">
        <f>SimOpsY1*(1+SimOpsGrowth)^699</f>
        <v>6.9235102595695051E+27</v>
      </c>
      <c r="J701" s="4">
        <f>TrainDevY1*(1+TrainDevGrowth)^699</f>
        <v>3.4617551297847525E+27</v>
      </c>
      <c r="K701" s="4">
        <f>AdminY1*(1+AdminGrowth)^699</f>
        <v>9.768543521408962E+21</v>
      </c>
      <c r="L701" s="4">
        <f t="shared" si="42"/>
        <v>1.0385275158067026E+28</v>
      </c>
      <c r="M701" s="4">
        <f t="shared" si="43"/>
        <v>6.4349842472304191E+33</v>
      </c>
    </row>
    <row r="702" spans="1:13" x14ac:dyDescent="0.2">
      <c r="A702" s="3">
        <f>StartYear+700</f>
        <v>2725</v>
      </c>
      <c r="B702" s="4">
        <f>FacultyFTE*HoursPerWeek*WeeksPerYear*RatePerHour*(1+PracticeGrowth)^700</f>
        <v>1.9584019672210561E+20</v>
      </c>
      <c r="C702" s="4">
        <f>StudentsY1*(1+StudentGrowth)^700*CreditsPerStudent*TuitionPerCredit</f>
        <v>1.2240012295131601E+21</v>
      </c>
      <c r="D702" s="4">
        <f>SimRevY1*(1+SimGrowth)^700</f>
        <v>4.7189960638364309E+33</v>
      </c>
      <c r="E702" s="4">
        <f>FacDevRevY1*(1+FacDevGrowth)^700</f>
        <v>2.3594980319182154E+33</v>
      </c>
      <c r="F702" s="4">
        <f t="shared" si="40"/>
        <v>7.0784940957558695E+33</v>
      </c>
      <c r="G702" s="4">
        <f t="shared" si="41"/>
        <v>7.0784940957560655E+33</v>
      </c>
      <c r="H702" s="4">
        <f>SalaryFTECount*SalaryPerFTE*(1+SalaryGrowth)^700</f>
        <v>1.7601788726929642E+17</v>
      </c>
      <c r="I702" s="4">
        <f>SimOpsY1*(1+SimOpsGrowth)^700</f>
        <v>7.4773910803350654E+27</v>
      </c>
      <c r="J702" s="4">
        <f>TrainDevY1*(1+TrainDevGrowth)^700</f>
        <v>3.7386955401675327E+27</v>
      </c>
      <c r="K702" s="4">
        <f>AdminY1*(1+AdminGrowth)^700</f>
        <v>1.03546561326935E+22</v>
      </c>
      <c r="L702" s="4">
        <f t="shared" si="42"/>
        <v>1.1216096975334749E+28</v>
      </c>
      <c r="M702" s="4">
        <f t="shared" si="43"/>
        <v>7.0784828796590902E+33</v>
      </c>
    </row>
    <row r="703" spans="1:13" x14ac:dyDescent="0.2">
      <c r="A703" s="3">
        <f>StartYear+701</f>
        <v>2726</v>
      </c>
      <c r="B703" s="4">
        <f>FacultyFTE*HoursPerWeek*WeeksPerYear*RatePerHour*(1+PracticeGrowth)^701</f>
        <v>2.0563220655821092E+20</v>
      </c>
      <c r="C703" s="4">
        <f>StudentsY1*(1+StudentGrowth)^701*CreditsPerStudent*TuitionPerCredit</f>
        <v>1.2852012909888183E+21</v>
      </c>
      <c r="D703" s="4">
        <f>SimRevY1*(1+SimGrowth)^701</f>
        <v>5.1908956702200749E+33</v>
      </c>
      <c r="E703" s="4">
        <f>FacDevRevY1*(1+FacDevGrowth)^701</f>
        <v>2.5954478351100374E+33</v>
      </c>
      <c r="F703" s="4">
        <f t="shared" si="40"/>
        <v>7.7863435053313972E+33</v>
      </c>
      <c r="G703" s="4">
        <f t="shared" si="41"/>
        <v>7.7863435053316024E+33</v>
      </c>
      <c r="H703" s="4">
        <f>SalaryFTECount*SalaryPerFTE*(1+SalaryGrowth)^701</f>
        <v>1.8305860276006829E+17</v>
      </c>
      <c r="I703" s="4">
        <f>SimOpsY1*(1+SimOpsGrowth)^701</f>
        <v>8.0755823667618712E+27</v>
      </c>
      <c r="J703" s="4">
        <f>TrainDevY1*(1+TrainDevGrowth)^701</f>
        <v>4.0377911833809356E+27</v>
      </c>
      <c r="K703" s="4">
        <f>AdminY1*(1+AdminGrowth)^701</f>
        <v>1.0975935500655111E+22</v>
      </c>
      <c r="L703" s="4">
        <f t="shared" si="42"/>
        <v>1.2113384526261365E+28</v>
      </c>
      <c r="M703" s="4">
        <f t="shared" si="43"/>
        <v>7.7863313919470757E+33</v>
      </c>
    </row>
    <row r="704" spans="1:13" x14ac:dyDescent="0.2">
      <c r="A704" s="3">
        <f>StartYear+702</f>
        <v>2727</v>
      </c>
      <c r="B704" s="4">
        <f>FacultyFTE*HoursPerWeek*WeeksPerYear*RatePerHour*(1+PracticeGrowth)^702</f>
        <v>2.1591381688612143E+20</v>
      </c>
      <c r="C704" s="4">
        <f>StudentsY1*(1+StudentGrowth)^702*CreditsPerStudent*TuitionPerCredit</f>
        <v>1.3494613555382591E+21</v>
      </c>
      <c r="D704" s="4">
        <f>SimRevY1*(1+SimGrowth)^702</f>
        <v>5.7099852372420832E+33</v>
      </c>
      <c r="E704" s="4">
        <f>FacDevRevY1*(1+FacDevGrowth)^702</f>
        <v>2.8549926186210416E+33</v>
      </c>
      <c r="F704" s="4">
        <f t="shared" si="40"/>
        <v>8.5649778558644737E+33</v>
      </c>
      <c r="G704" s="4">
        <f t="shared" si="41"/>
        <v>8.5649778558646893E+33</v>
      </c>
      <c r="H704" s="4">
        <f>SalaryFTECount*SalaryPerFTE*(1+SalaryGrowth)^702</f>
        <v>1.9038094687047098E+17</v>
      </c>
      <c r="I704" s="4">
        <f>SimOpsY1*(1+SimOpsGrowth)^702</f>
        <v>8.7216289561028225E+27</v>
      </c>
      <c r="J704" s="4">
        <f>TrainDevY1*(1+TrainDevGrowth)^702</f>
        <v>4.3608144780514113E+27</v>
      </c>
      <c r="K704" s="4">
        <f>AdminY1*(1+AdminGrowth)^702</f>
        <v>1.1634491630694418E+22</v>
      </c>
      <c r="L704" s="4">
        <f t="shared" si="42"/>
        <v>1.3082455068836245E+28</v>
      </c>
      <c r="M704" s="4">
        <f t="shared" si="43"/>
        <v>8.56496477340962E+33</v>
      </c>
    </row>
    <row r="705" spans="1:13" x14ac:dyDescent="0.2">
      <c r="A705" s="3">
        <f>StartYear+703</f>
        <v>2728</v>
      </c>
      <c r="B705" s="4">
        <f>FacultyFTE*HoursPerWeek*WeeksPerYear*RatePerHour*(1+PracticeGrowth)^703</f>
        <v>2.2670950773042758E+20</v>
      </c>
      <c r="C705" s="4">
        <f>StudentsY1*(1+StudentGrowth)^703*CreditsPerStudent*TuitionPerCredit</f>
        <v>1.416934423315172E+21</v>
      </c>
      <c r="D705" s="4">
        <f>SimRevY1*(1+SimGrowth)^703</f>
        <v>6.2809837609662892E+33</v>
      </c>
      <c r="E705" s="4">
        <f>FacDevRevY1*(1+FacDevGrowth)^703</f>
        <v>3.1404918804831446E+33</v>
      </c>
      <c r="F705" s="4">
        <f t="shared" si="40"/>
        <v>9.4214756414508507E+33</v>
      </c>
      <c r="G705" s="4">
        <f t="shared" si="41"/>
        <v>9.4214756414510778E+33</v>
      </c>
      <c r="H705" s="4">
        <f>SalaryFTECount*SalaryPerFTE*(1+SalaryGrowth)^703</f>
        <v>1.9799618474528982E+17</v>
      </c>
      <c r="I705" s="4">
        <f>SimOpsY1*(1+SimOpsGrowth)^703</f>
        <v>9.4193592725910497E+27</v>
      </c>
      <c r="J705" s="4">
        <f>TrainDevY1*(1+TrainDevGrowth)^703</f>
        <v>4.7096796362955248E+27</v>
      </c>
      <c r="K705" s="4">
        <f>AdminY1*(1+AdminGrowth)^703</f>
        <v>1.2332561128536087E+22</v>
      </c>
      <c r="L705" s="4">
        <f t="shared" si="42"/>
        <v>1.4129051241645699E+28</v>
      </c>
      <c r="M705" s="4">
        <f t="shared" si="43"/>
        <v>9.4214615123998363E+33</v>
      </c>
    </row>
    <row r="706" spans="1:13" x14ac:dyDescent="0.2">
      <c r="A706" s="3">
        <f>StartYear+704</f>
        <v>2729</v>
      </c>
      <c r="B706" s="4">
        <f>FacultyFTE*HoursPerWeek*WeeksPerYear*RatePerHour*(1+PracticeGrowth)^704</f>
        <v>2.3804498311694893E+20</v>
      </c>
      <c r="C706" s="4">
        <f>StudentsY1*(1+StudentGrowth)^704*CreditsPerStudent*TuitionPerCredit</f>
        <v>1.4877811444809306E+21</v>
      </c>
      <c r="D706" s="4">
        <f>SimRevY1*(1+SimGrowth)^704</f>
        <v>6.9090821370629204E+33</v>
      </c>
      <c r="E706" s="4">
        <f>FacDevRevY1*(1+FacDevGrowth)^704</f>
        <v>3.4545410685314602E+33</v>
      </c>
      <c r="F706" s="4">
        <f t="shared" ref="F706:F769" si="44">C706+D706+E706</f>
        <v>1.0363623205595868E+34</v>
      </c>
      <c r="G706" s="4">
        <f t="shared" ref="G706:G769" si="45">B706+F706</f>
        <v>1.0363623205596105E+34</v>
      </c>
      <c r="H706" s="4">
        <f>SalaryFTECount*SalaryPerFTE*(1+SalaryGrowth)^704</f>
        <v>2.0591603213510144E+17</v>
      </c>
      <c r="I706" s="4">
        <f>SimOpsY1*(1+SimOpsGrowth)^704</f>
        <v>1.0172908014398334E+28</v>
      </c>
      <c r="J706" s="4">
        <f>TrainDevY1*(1+TrainDevGrowth)^704</f>
        <v>5.0864540071991668E+27</v>
      </c>
      <c r="K706" s="4">
        <f>AdminY1*(1+AdminGrowth)^704</f>
        <v>1.3072514796248248E+22</v>
      </c>
      <c r="L706" s="4">
        <f t="shared" ref="L706:L769" si="46">SUM(H706:K706)</f>
        <v>1.5259375094318213E+28</v>
      </c>
      <c r="M706" s="4">
        <f t="shared" ref="M706:M769" si="47">G706-L706</f>
        <v>1.0363607946221012E+34</v>
      </c>
    </row>
    <row r="707" spans="1:13" x14ac:dyDescent="0.2">
      <c r="A707" s="3">
        <f>StartYear+705</f>
        <v>2730</v>
      </c>
      <c r="B707" s="4">
        <f>FacultyFTE*HoursPerWeek*WeeksPerYear*RatePerHour*(1+PracticeGrowth)^705</f>
        <v>2.4994723227279642E+20</v>
      </c>
      <c r="C707" s="4">
        <f>StudentsY1*(1+StudentGrowth)^705*CreditsPerStudent*TuitionPerCredit</f>
        <v>1.5621702017049779E+21</v>
      </c>
      <c r="D707" s="4">
        <f>SimRevY1*(1+SimGrowth)^705</f>
        <v>7.5999903507692127E+33</v>
      </c>
      <c r="E707" s="4">
        <f>FacDevRevY1*(1+FacDevGrowth)^705</f>
        <v>3.7999951753846063E+33</v>
      </c>
      <c r="F707" s="4">
        <f t="shared" si="44"/>
        <v>1.1399985526155381E+34</v>
      </c>
      <c r="G707" s="4">
        <f t="shared" si="45"/>
        <v>1.139998552615563E+34</v>
      </c>
      <c r="H707" s="4">
        <f>SalaryFTECount*SalaryPerFTE*(1+SalaryGrowth)^705</f>
        <v>2.1415267342050554E+17</v>
      </c>
      <c r="I707" s="4">
        <f>SimOpsY1*(1+SimOpsGrowth)^705</f>
        <v>1.0986740655550203E+28</v>
      </c>
      <c r="J707" s="4">
        <f>TrainDevY1*(1+TrainDevGrowth)^705</f>
        <v>5.4933703277751015E+27</v>
      </c>
      <c r="K707" s="4">
        <f>AdminY1*(1+AdminGrowth)^705</f>
        <v>1.3856865684023142E+22</v>
      </c>
      <c r="L707" s="4">
        <f t="shared" si="46"/>
        <v>1.6480124840405138E+28</v>
      </c>
      <c r="M707" s="4">
        <f t="shared" si="47"/>
        <v>1.1399969046030789E+34</v>
      </c>
    </row>
    <row r="708" spans="1:13" x14ac:dyDescent="0.2">
      <c r="A708" s="3">
        <f>StartYear+706</f>
        <v>2731</v>
      </c>
      <c r="B708" s="4">
        <f>FacultyFTE*HoursPerWeek*WeeksPerYear*RatePerHour*(1+PracticeGrowth)^706</f>
        <v>2.624445938864362E+20</v>
      </c>
      <c r="C708" s="4">
        <f>StudentsY1*(1+StudentGrowth)^706*CreditsPerStudent*TuitionPerCredit</f>
        <v>1.6402787117902261E+21</v>
      </c>
      <c r="D708" s="4">
        <f>SimRevY1*(1+SimGrowth)^706</f>
        <v>8.359989385846135E+33</v>
      </c>
      <c r="E708" s="4">
        <f>FacDevRevY1*(1+FacDevGrowth)^706</f>
        <v>4.1799946929230675E+33</v>
      </c>
      <c r="F708" s="4">
        <f t="shared" si="44"/>
        <v>1.2539984078770843E+34</v>
      </c>
      <c r="G708" s="4">
        <f t="shared" si="45"/>
        <v>1.2539984078771106E+34</v>
      </c>
      <c r="H708" s="4">
        <f>SalaryFTECount*SalaryPerFTE*(1+SalaryGrowth)^706</f>
        <v>2.2271878035732573E+17</v>
      </c>
      <c r="I708" s="4">
        <f>SimOpsY1*(1+SimOpsGrowth)^706</f>
        <v>1.1865679907994218E+28</v>
      </c>
      <c r="J708" s="4">
        <f>TrainDevY1*(1+TrainDevGrowth)^706</f>
        <v>5.9328399539971091E+27</v>
      </c>
      <c r="K708" s="4">
        <f>AdminY1*(1+AdminGrowth)^706</f>
        <v>1.4688277625064535E+22</v>
      </c>
      <c r="L708" s="4">
        <f t="shared" si="46"/>
        <v>1.7798534550491671E+28</v>
      </c>
      <c r="M708" s="4">
        <f t="shared" si="47"/>
        <v>1.2539966280236555E+34</v>
      </c>
    </row>
    <row r="709" spans="1:13" x14ac:dyDescent="0.2">
      <c r="A709" s="3">
        <f>StartYear+707</f>
        <v>2732</v>
      </c>
      <c r="B709" s="4">
        <f>FacultyFTE*HoursPerWeek*WeeksPerYear*RatePerHour*(1+PracticeGrowth)^707</f>
        <v>2.7556682358075805E+20</v>
      </c>
      <c r="C709" s="4">
        <f>StudentsY1*(1+StudentGrowth)^707*CreditsPerStudent*TuitionPerCredit</f>
        <v>1.7222926473797375E+21</v>
      </c>
      <c r="D709" s="4">
        <f>SimRevY1*(1+SimGrowth)^707</f>
        <v>9.1959883244307508E+33</v>
      </c>
      <c r="E709" s="4">
        <f>FacDevRevY1*(1+FacDevGrowth)^707</f>
        <v>4.5979941622153754E+33</v>
      </c>
      <c r="F709" s="4">
        <f t="shared" si="44"/>
        <v>1.3793982486647848E+34</v>
      </c>
      <c r="G709" s="4">
        <f t="shared" si="45"/>
        <v>1.3793982486648125E+34</v>
      </c>
      <c r="H709" s="4">
        <f>SalaryFTECount*SalaryPerFTE*(1+SalaryGrowth)^707</f>
        <v>2.3162753157161875E+17</v>
      </c>
      <c r="I709" s="4">
        <f>SimOpsY1*(1+SimOpsGrowth)^707</f>
        <v>1.2814934300633755E+28</v>
      </c>
      <c r="J709" s="4">
        <f>TrainDevY1*(1+TrainDevGrowth)^707</f>
        <v>6.4074671503168777E+27</v>
      </c>
      <c r="K709" s="4">
        <f>AdminY1*(1+AdminGrowth)^707</f>
        <v>1.5569574282568407E+22</v>
      </c>
      <c r="L709" s="4">
        <f t="shared" si="46"/>
        <v>1.9222417020756541E+28</v>
      </c>
      <c r="M709" s="4">
        <f t="shared" si="47"/>
        <v>1.3793963264231103E+34</v>
      </c>
    </row>
    <row r="710" spans="1:13" x14ac:dyDescent="0.2">
      <c r="A710" s="3">
        <f>StartYear+708</f>
        <v>2733</v>
      </c>
      <c r="B710" s="4">
        <f>FacultyFTE*HoursPerWeek*WeeksPerYear*RatePerHour*(1+PracticeGrowth)^708</f>
        <v>2.8934516475979592E+20</v>
      </c>
      <c r="C710" s="4">
        <f>StudentsY1*(1+StudentGrowth)^708*CreditsPerStudent*TuitionPerCredit</f>
        <v>1.8084072797487243E+21</v>
      </c>
      <c r="D710" s="4">
        <f>SimRevY1*(1+SimGrowth)^708</f>
        <v>1.0115587156873824E+34</v>
      </c>
      <c r="E710" s="4">
        <f>FacDevRevY1*(1+FacDevGrowth)^708</f>
        <v>5.0577935784369122E+33</v>
      </c>
      <c r="F710" s="4">
        <f t="shared" si="44"/>
        <v>1.5173380735312545E+34</v>
      </c>
      <c r="G710" s="4">
        <f t="shared" si="45"/>
        <v>1.5173380735312834E+34</v>
      </c>
      <c r="H710" s="4">
        <f>SalaryFTECount*SalaryPerFTE*(1+SalaryGrowth)^708</f>
        <v>2.4089263283448352E+17</v>
      </c>
      <c r="I710" s="4">
        <f>SimOpsY1*(1+SimOpsGrowth)^708</f>
        <v>1.3840129044684459E+28</v>
      </c>
      <c r="J710" s="4">
        <f>TrainDevY1*(1+TrainDevGrowth)^708</f>
        <v>6.9200645223422294E+27</v>
      </c>
      <c r="K710" s="4">
        <f>AdminY1*(1+AdminGrowth)^708</f>
        <v>1.6503748739522514E+22</v>
      </c>
      <c r="L710" s="4">
        <f t="shared" si="46"/>
        <v>2.0760210071016319E+28</v>
      </c>
      <c r="M710" s="4">
        <f t="shared" si="47"/>
        <v>1.5173359975102763E+34</v>
      </c>
    </row>
    <row r="711" spans="1:13" x14ac:dyDescent="0.2">
      <c r="A711" s="3">
        <f>StartYear+709</f>
        <v>2734</v>
      </c>
      <c r="B711" s="4">
        <f>FacultyFTE*HoursPerWeek*WeeksPerYear*RatePerHour*(1+PracticeGrowth)^709</f>
        <v>3.0381242299778577E+20</v>
      </c>
      <c r="C711" s="4">
        <f>StudentsY1*(1+StudentGrowth)^709*CreditsPerStudent*TuitionPerCredit</f>
        <v>1.898827643736161E+21</v>
      </c>
      <c r="D711" s="4">
        <f>SimRevY1*(1+SimGrowth)^709</f>
        <v>1.112714587256121E+34</v>
      </c>
      <c r="E711" s="4">
        <f>FacDevRevY1*(1+FacDevGrowth)^709</f>
        <v>5.5635729362806049E+33</v>
      </c>
      <c r="F711" s="4">
        <f t="shared" si="44"/>
        <v>1.6690718808843714E+34</v>
      </c>
      <c r="G711" s="4">
        <f t="shared" si="45"/>
        <v>1.6690718808844018E+34</v>
      </c>
      <c r="H711" s="4">
        <f>SalaryFTECount*SalaryPerFTE*(1+SalaryGrowth)^709</f>
        <v>2.5052833814786291E+17</v>
      </c>
      <c r="I711" s="4">
        <f>SimOpsY1*(1+SimOpsGrowth)^709</f>
        <v>1.4947339368259212E+28</v>
      </c>
      <c r="J711" s="4">
        <f>TrainDevY1*(1+TrainDevGrowth)^709</f>
        <v>7.4736696841296062E+27</v>
      </c>
      <c r="K711" s="4">
        <f>AdminY1*(1+AdminGrowth)^709</f>
        <v>1.7493973663893862E+22</v>
      </c>
      <c r="L711" s="4">
        <f t="shared" si="46"/>
        <v>2.2421026546613012E+28</v>
      </c>
      <c r="M711" s="4">
        <f t="shared" si="47"/>
        <v>1.6690696387817472E+34</v>
      </c>
    </row>
    <row r="712" spans="1:13" x14ac:dyDescent="0.2">
      <c r="A712" s="3">
        <f>StartYear+710</f>
        <v>2735</v>
      </c>
      <c r="B712" s="4">
        <f>FacultyFTE*HoursPerWeek*WeeksPerYear*RatePerHour*(1+PracticeGrowth)^710</f>
        <v>3.19003044147675E+20</v>
      </c>
      <c r="C712" s="4">
        <f>StudentsY1*(1+StudentGrowth)^710*CreditsPerStudent*TuitionPerCredit</f>
        <v>1.9937690259229688E+21</v>
      </c>
      <c r="D712" s="4">
        <f>SimRevY1*(1+SimGrowth)^710</f>
        <v>1.2239860459817331E+34</v>
      </c>
      <c r="E712" s="4">
        <f>FacDevRevY1*(1+FacDevGrowth)^710</f>
        <v>6.1199302299086653E+33</v>
      </c>
      <c r="F712" s="4">
        <f t="shared" si="44"/>
        <v>1.835979068972799E+34</v>
      </c>
      <c r="G712" s="4">
        <f t="shared" si="45"/>
        <v>1.8359790689728309E+34</v>
      </c>
      <c r="H712" s="4">
        <f>SalaryFTECount*SalaryPerFTE*(1+SalaryGrowth)^710</f>
        <v>2.6054947167377744E+17</v>
      </c>
      <c r="I712" s="4">
        <f>SimOpsY1*(1+SimOpsGrowth)^710</f>
        <v>1.6143126517719955E+28</v>
      </c>
      <c r="J712" s="4">
        <f>TrainDevY1*(1+TrainDevGrowth)^710</f>
        <v>8.0715632588599775E+27</v>
      </c>
      <c r="K712" s="4">
        <f>AdminY1*(1+AdminGrowth)^710</f>
        <v>1.8543612083727499E+22</v>
      </c>
      <c r="L712" s="4">
        <f t="shared" si="46"/>
        <v>2.4214708320452563E+28</v>
      </c>
      <c r="M712" s="4">
        <f t="shared" si="47"/>
        <v>1.8359766475019988E+34</v>
      </c>
    </row>
    <row r="713" spans="1:13" x14ac:dyDescent="0.2">
      <c r="A713" s="3">
        <f>StartYear+711</f>
        <v>2736</v>
      </c>
      <c r="B713" s="4">
        <f>FacultyFTE*HoursPerWeek*WeeksPerYear*RatePerHour*(1+PracticeGrowth)^711</f>
        <v>3.3495319635505886E+20</v>
      </c>
      <c r="C713" s="4">
        <f>StudentsY1*(1+StudentGrowth)^711*CreditsPerStudent*TuitionPerCredit</f>
        <v>2.0934574772191177E+21</v>
      </c>
      <c r="D713" s="4">
        <f>SimRevY1*(1+SimGrowth)^711</f>
        <v>1.3463846505799066E+34</v>
      </c>
      <c r="E713" s="4">
        <f>FacDevRevY1*(1+FacDevGrowth)^711</f>
        <v>6.7319232528995329E+33</v>
      </c>
      <c r="F713" s="4">
        <f t="shared" si="44"/>
        <v>2.0195769758700693E+34</v>
      </c>
      <c r="G713" s="4">
        <f t="shared" si="45"/>
        <v>2.0195769758701027E+34</v>
      </c>
      <c r="H713" s="4">
        <f>SalaryFTECount*SalaryPerFTE*(1+SalaryGrowth)^711</f>
        <v>2.7097145054072845E+17</v>
      </c>
      <c r="I713" s="4">
        <f>SimOpsY1*(1+SimOpsGrowth)^711</f>
        <v>1.7434576639137548E+28</v>
      </c>
      <c r="J713" s="4">
        <f>TrainDevY1*(1+TrainDevGrowth)^711</f>
        <v>8.7172883195687742E+27</v>
      </c>
      <c r="K713" s="4">
        <f>AdminY1*(1+AdminGrowth)^711</f>
        <v>1.9656228808751151E+22</v>
      </c>
      <c r="L713" s="4">
        <f t="shared" si="46"/>
        <v>2.6151884615206107E+28</v>
      </c>
      <c r="M713" s="4">
        <f t="shared" si="47"/>
        <v>2.0195743606816411E+34</v>
      </c>
    </row>
    <row r="714" spans="1:13" x14ac:dyDescent="0.2">
      <c r="A714" s="3">
        <f>StartYear+712</f>
        <v>2737</v>
      </c>
      <c r="B714" s="4">
        <f>FacultyFTE*HoursPerWeek*WeeksPerYear*RatePerHour*(1+PracticeGrowth)^712</f>
        <v>3.5170085617281171E+20</v>
      </c>
      <c r="C714" s="4">
        <f>StudentsY1*(1+StudentGrowth)^712*CreditsPerStudent*TuitionPerCredit</f>
        <v>2.1981303510800736E+21</v>
      </c>
      <c r="D714" s="4">
        <f>SimRevY1*(1+SimGrowth)^712</f>
        <v>1.4810231156378971E+34</v>
      </c>
      <c r="E714" s="4">
        <f>FacDevRevY1*(1+FacDevGrowth)^712</f>
        <v>7.4051155781894855E+33</v>
      </c>
      <c r="F714" s="4">
        <f t="shared" si="44"/>
        <v>2.2215346734570654E+34</v>
      </c>
      <c r="G714" s="4">
        <f t="shared" si="45"/>
        <v>2.2215346734571005E+34</v>
      </c>
      <c r="H714" s="4">
        <f>SalaryFTECount*SalaryPerFTE*(1+SalaryGrowth)^712</f>
        <v>2.818103085623577E+17</v>
      </c>
      <c r="I714" s="4">
        <f>SimOpsY1*(1+SimOpsGrowth)^712</f>
        <v>1.8829342770268557E+28</v>
      </c>
      <c r="J714" s="4">
        <f>TrainDevY1*(1+TrainDevGrowth)^712</f>
        <v>9.4146713851342787E+27</v>
      </c>
      <c r="K714" s="4">
        <f>AdminY1*(1+AdminGrowth)^712</f>
        <v>2.0835602537276217E+22</v>
      </c>
      <c r="L714" s="4">
        <f t="shared" si="46"/>
        <v>2.824403499128718E+28</v>
      </c>
      <c r="M714" s="4">
        <f t="shared" si="47"/>
        <v>2.2215318490536015E+34</v>
      </c>
    </row>
    <row r="715" spans="1:13" x14ac:dyDescent="0.2">
      <c r="A715" s="3">
        <f>StartYear+713</f>
        <v>2738</v>
      </c>
      <c r="B715" s="4">
        <f>FacultyFTE*HoursPerWeek*WeeksPerYear*RatePerHour*(1+PracticeGrowth)^713</f>
        <v>3.6928589898145235E+20</v>
      </c>
      <c r="C715" s="4">
        <f>StudentsY1*(1+StudentGrowth)^713*CreditsPerStudent*TuitionPerCredit</f>
        <v>2.3080368686340768E+21</v>
      </c>
      <c r="D715" s="4">
        <f>SimRevY1*(1+SimGrowth)^713</f>
        <v>1.6291254272016872E+34</v>
      </c>
      <c r="E715" s="4">
        <f>FacDevRevY1*(1+FacDevGrowth)^713</f>
        <v>8.1456271360084359E+33</v>
      </c>
      <c r="F715" s="4">
        <f t="shared" si="44"/>
        <v>2.4436881408027617E+34</v>
      </c>
      <c r="G715" s="4">
        <f t="shared" si="45"/>
        <v>2.4436881408027986E+34</v>
      </c>
      <c r="H715" s="4">
        <f>SalaryFTECount*SalaryPerFTE*(1+SalaryGrowth)^713</f>
        <v>2.9308272090485203E+17</v>
      </c>
      <c r="I715" s="4">
        <f>SimOpsY1*(1+SimOpsGrowth)^713</f>
        <v>2.0335690191890042E+28</v>
      </c>
      <c r="J715" s="4">
        <f>TrainDevY1*(1+TrainDevGrowth)^713</f>
        <v>1.0167845095945021E+28</v>
      </c>
      <c r="K715" s="4">
        <f>AdminY1*(1+AdminGrowth)^713</f>
        <v>2.2085738689512788E+22</v>
      </c>
      <c r="L715" s="4">
        <f t="shared" si="46"/>
        <v>3.0503557373866836E+28</v>
      </c>
      <c r="M715" s="4">
        <f t="shared" si="47"/>
        <v>2.4436850904470611E+34</v>
      </c>
    </row>
    <row r="716" spans="1:13" x14ac:dyDescent="0.2">
      <c r="A716" s="3">
        <f>StartYear+714</f>
        <v>2739</v>
      </c>
      <c r="B716" s="4">
        <f>FacultyFTE*HoursPerWeek*WeeksPerYear*RatePerHour*(1+PracticeGrowth)^714</f>
        <v>3.8775019393052488E+20</v>
      </c>
      <c r="C716" s="4">
        <f>StudentsY1*(1+StudentGrowth)^714*CreditsPerStudent*TuitionPerCredit</f>
        <v>2.4234387120657809E+21</v>
      </c>
      <c r="D716" s="4">
        <f>SimRevY1*(1+SimGrowth)^714</f>
        <v>1.7920379699218557E+34</v>
      </c>
      <c r="E716" s="4">
        <f>FacDevRevY1*(1+FacDevGrowth)^714</f>
        <v>8.9601898496092785E+33</v>
      </c>
      <c r="F716" s="4">
        <f t="shared" si="44"/>
        <v>2.6880569548830257E+34</v>
      </c>
      <c r="G716" s="4">
        <f t="shared" si="45"/>
        <v>2.6880569548830644E+34</v>
      </c>
      <c r="H716" s="4">
        <f>SalaryFTECount*SalaryPerFTE*(1+SalaryGrowth)^714</f>
        <v>3.0480602974104608E+17</v>
      </c>
      <c r="I716" s="4">
        <f>SimOpsY1*(1+SimOpsGrowth)^714</f>
        <v>2.1962545407241246E+28</v>
      </c>
      <c r="J716" s="4">
        <f>TrainDevY1*(1+TrainDevGrowth)^714</f>
        <v>1.0981272703620623E+28</v>
      </c>
      <c r="K716" s="4">
        <f>AdminY1*(1+AdminGrowth)^714</f>
        <v>2.3410883010883557E+22</v>
      </c>
      <c r="L716" s="4">
        <f t="shared" si="46"/>
        <v>3.2943841522049689E+28</v>
      </c>
      <c r="M716" s="4">
        <f t="shared" si="47"/>
        <v>2.688053660498912E+34</v>
      </c>
    </row>
    <row r="717" spans="1:13" x14ac:dyDescent="0.2">
      <c r="A717" s="3">
        <f>StartYear+715</f>
        <v>2740</v>
      </c>
      <c r="B717" s="4">
        <f>FacultyFTE*HoursPerWeek*WeeksPerYear*RatePerHour*(1+PracticeGrowth)^715</f>
        <v>4.0713770362705124E+20</v>
      </c>
      <c r="C717" s="4">
        <f>StudentsY1*(1+StudentGrowth)^715*CreditsPerStudent*TuitionPerCredit</f>
        <v>2.5446106476690701E+21</v>
      </c>
      <c r="D717" s="4">
        <f>SimRevY1*(1+SimGrowth)^715</f>
        <v>1.9712417669140414E+34</v>
      </c>
      <c r="E717" s="4">
        <f>FacDevRevY1*(1+FacDevGrowth)^715</f>
        <v>9.8562088345702068E+33</v>
      </c>
      <c r="F717" s="4">
        <f t="shared" si="44"/>
        <v>2.9568626503713166E+34</v>
      </c>
      <c r="G717" s="4">
        <f t="shared" si="45"/>
        <v>2.9568626503713572E+34</v>
      </c>
      <c r="H717" s="4">
        <f>SalaryFTECount*SalaryPerFTE*(1+SalaryGrowth)^715</f>
        <v>3.1699827093068794E+17</v>
      </c>
      <c r="I717" s="4">
        <f>SimOpsY1*(1+SimOpsGrowth)^715</f>
        <v>2.3719549039820548E+28</v>
      </c>
      <c r="J717" s="4">
        <f>TrainDevY1*(1+TrainDevGrowth)^715</f>
        <v>1.1859774519910274E+28</v>
      </c>
      <c r="K717" s="4">
        <f>AdminY1*(1+AdminGrowth)^715</f>
        <v>2.4815535991536575E+22</v>
      </c>
      <c r="L717" s="4">
        <f t="shared" si="46"/>
        <v>3.557934837558381E+28</v>
      </c>
      <c r="M717" s="4">
        <f t="shared" si="47"/>
        <v>2.9568590924365196E+34</v>
      </c>
    </row>
    <row r="718" spans="1:13" x14ac:dyDescent="0.2">
      <c r="A718" s="3">
        <f>StartYear+716</f>
        <v>2741</v>
      </c>
      <c r="B718" s="4">
        <f>FacultyFTE*HoursPerWeek*WeeksPerYear*RatePerHour*(1+PracticeGrowth)^716</f>
        <v>4.2749458880840368E+20</v>
      </c>
      <c r="C718" s="4">
        <f>StudentsY1*(1+StudentGrowth)^716*CreditsPerStudent*TuitionPerCredit</f>
        <v>2.6718411800525228E+21</v>
      </c>
      <c r="D718" s="4">
        <f>SimRevY1*(1+SimGrowth)^716</f>
        <v>2.1683659436054452E+34</v>
      </c>
      <c r="E718" s="4">
        <f>FacDevRevY1*(1+FacDevGrowth)^716</f>
        <v>1.0841829718027226E+34</v>
      </c>
      <c r="F718" s="4">
        <f t="shared" si="44"/>
        <v>3.2525489154084346E+34</v>
      </c>
      <c r="G718" s="4">
        <f t="shared" si="45"/>
        <v>3.2525489154084775E+34</v>
      </c>
      <c r="H718" s="4">
        <f>SalaryFTECount*SalaryPerFTE*(1+SalaryGrowth)^716</f>
        <v>3.2967820176791546E+17</v>
      </c>
      <c r="I718" s="4">
        <f>SimOpsY1*(1+SimOpsGrowth)^716</f>
        <v>2.5617112963006193E+28</v>
      </c>
      <c r="J718" s="4">
        <f>TrainDevY1*(1+TrainDevGrowth)^716</f>
        <v>1.2808556481503097E+28</v>
      </c>
      <c r="K718" s="4">
        <f>AdminY1*(1+AdminGrowth)^716</f>
        <v>2.6304468151028773E+22</v>
      </c>
      <c r="L718" s="4">
        <f t="shared" si="46"/>
        <v>3.8425695749307116E+28</v>
      </c>
      <c r="M718" s="4">
        <f t="shared" si="47"/>
        <v>3.2525450728389026E+34</v>
      </c>
    </row>
    <row r="719" spans="1:13" x14ac:dyDescent="0.2">
      <c r="A719" s="3">
        <f>StartYear+717</f>
        <v>2742</v>
      </c>
      <c r="B719" s="4">
        <f>FacultyFTE*HoursPerWeek*WeeksPerYear*RatePerHour*(1+PracticeGrowth)^717</f>
        <v>4.4886931824882398E+20</v>
      </c>
      <c r="C719" s="4">
        <f>StudentsY1*(1+StudentGrowth)^717*CreditsPerStudent*TuitionPerCredit</f>
        <v>2.8054332390551501E+21</v>
      </c>
      <c r="D719" s="4">
        <f>SimRevY1*(1+SimGrowth)^717</f>
        <v>2.3852025379659903E+34</v>
      </c>
      <c r="E719" s="4">
        <f>FacDevRevY1*(1+FacDevGrowth)^717</f>
        <v>1.1926012689829951E+34</v>
      </c>
      <c r="F719" s="4">
        <f t="shared" si="44"/>
        <v>3.5778038069492655E+34</v>
      </c>
      <c r="G719" s="4">
        <f t="shared" si="45"/>
        <v>3.5778038069493103E+34</v>
      </c>
      <c r="H719" s="4">
        <f>SalaryFTECount*SalaryPerFTE*(1+SalaryGrowth)^717</f>
        <v>3.4286532983863213E+17</v>
      </c>
      <c r="I719" s="4">
        <f>SimOpsY1*(1+SimOpsGrowth)^717</f>
        <v>2.7666482000046682E+28</v>
      </c>
      <c r="J719" s="4">
        <f>TrainDevY1*(1+TrainDevGrowth)^717</f>
        <v>1.3833241000023341E+28</v>
      </c>
      <c r="K719" s="4">
        <f>AdminY1*(1+AdminGrowth)^717</f>
        <v>2.7882736240090503E+22</v>
      </c>
      <c r="L719" s="4">
        <f t="shared" si="46"/>
        <v>4.1499750883149124E+28</v>
      </c>
      <c r="M719" s="4">
        <f t="shared" si="47"/>
        <v>3.577799656974222E+34</v>
      </c>
    </row>
    <row r="720" spans="1:13" x14ac:dyDescent="0.2">
      <c r="A720" s="3">
        <f>StartYear+718</f>
        <v>2743</v>
      </c>
      <c r="B720" s="4">
        <f>FacultyFTE*HoursPerWeek*WeeksPerYear*RatePerHour*(1+PracticeGrowth)^718</f>
        <v>4.7131278416126503E+20</v>
      </c>
      <c r="C720" s="4">
        <f>StudentsY1*(1+StudentGrowth)^718*CreditsPerStudent*TuitionPerCredit</f>
        <v>2.9457049010079064E+21</v>
      </c>
      <c r="D720" s="4">
        <f>SimRevY1*(1+SimGrowth)^718</f>
        <v>2.6237227917625897E+34</v>
      </c>
      <c r="E720" s="4">
        <f>FacDevRevY1*(1+FacDevGrowth)^718</f>
        <v>1.3118613958812948E+34</v>
      </c>
      <c r="F720" s="4">
        <f t="shared" si="44"/>
        <v>3.935584187644179E+34</v>
      </c>
      <c r="G720" s="4">
        <f t="shared" si="45"/>
        <v>3.935584187644226E+34</v>
      </c>
      <c r="H720" s="4">
        <f>SalaryFTECount*SalaryPerFTE*(1+SalaryGrowth)^718</f>
        <v>3.5657994303217741E+17</v>
      </c>
      <c r="I720" s="4">
        <f>SimOpsY1*(1+SimOpsGrowth)^718</f>
        <v>2.9879800560050426E+28</v>
      </c>
      <c r="J720" s="4">
        <f>TrainDevY1*(1+TrainDevGrowth)^718</f>
        <v>1.4939900280025213E+28</v>
      </c>
      <c r="K720" s="4">
        <f>AdminY1*(1+AdminGrowth)^718</f>
        <v>2.9555700414495928E+22</v>
      </c>
      <c r="L720" s="4">
        <f t="shared" si="46"/>
        <v>4.4819730396132633E+28</v>
      </c>
      <c r="M720" s="4">
        <f t="shared" si="47"/>
        <v>3.9355797056711865E+34</v>
      </c>
    </row>
    <row r="721" spans="1:13" x14ac:dyDescent="0.2">
      <c r="A721" s="3">
        <f>StartYear+719</f>
        <v>2744</v>
      </c>
      <c r="B721" s="4">
        <f>FacultyFTE*HoursPerWeek*WeeksPerYear*RatePerHour*(1+PracticeGrowth)^719</f>
        <v>4.9487842336932843E+20</v>
      </c>
      <c r="C721" s="4">
        <f>StudentsY1*(1+StudentGrowth)^719*CreditsPerStudent*TuitionPerCredit</f>
        <v>3.092990146058303E+21</v>
      </c>
      <c r="D721" s="4">
        <f>SimRevY1*(1+SimGrowth)^719</f>
        <v>2.8860950709388484E+34</v>
      </c>
      <c r="E721" s="4">
        <f>FacDevRevY1*(1+FacDevGrowth)^719</f>
        <v>1.4430475354694242E+34</v>
      </c>
      <c r="F721" s="4">
        <f t="shared" si="44"/>
        <v>4.3291426064085823E+34</v>
      </c>
      <c r="G721" s="4">
        <f t="shared" si="45"/>
        <v>4.3291426064086321E+34</v>
      </c>
      <c r="H721" s="4">
        <f>SalaryFTECount*SalaryPerFTE*(1+SalaryGrowth)^719</f>
        <v>3.7084314075346445E+17</v>
      </c>
      <c r="I721" s="4">
        <f>SimOpsY1*(1+SimOpsGrowth)^719</f>
        <v>3.2270184604854461E+28</v>
      </c>
      <c r="J721" s="4">
        <f>TrainDevY1*(1+TrainDevGrowth)^719</f>
        <v>1.613509230242723E+28</v>
      </c>
      <c r="K721" s="4">
        <f>AdminY1*(1+AdminGrowth)^719</f>
        <v>3.1329042439365697E+22</v>
      </c>
      <c r="L721" s="4">
        <f t="shared" si="46"/>
        <v>4.840530823669498E+28</v>
      </c>
      <c r="M721" s="4">
        <f t="shared" si="47"/>
        <v>4.3291377658778085E+34</v>
      </c>
    </row>
    <row r="722" spans="1:13" x14ac:dyDescent="0.2">
      <c r="A722" s="3">
        <f>StartYear+720</f>
        <v>2745</v>
      </c>
      <c r="B722" s="4">
        <f>FacultyFTE*HoursPerWeek*WeeksPerYear*RatePerHour*(1+PracticeGrowth)^720</f>
        <v>5.1962234453779487E+20</v>
      </c>
      <c r="C722" s="4">
        <f>StudentsY1*(1+StudentGrowth)^720*CreditsPerStudent*TuitionPerCredit</f>
        <v>3.2476396533612182E+21</v>
      </c>
      <c r="D722" s="4">
        <f>SimRevY1*(1+SimGrowth)^720</f>
        <v>3.1747045780327337E+34</v>
      </c>
      <c r="E722" s="4">
        <f>FacDevRevY1*(1+FacDevGrowth)^720</f>
        <v>1.5873522890163668E+34</v>
      </c>
      <c r="F722" s="4">
        <f t="shared" si="44"/>
        <v>4.7620568670494254E+34</v>
      </c>
      <c r="G722" s="4">
        <f t="shared" si="45"/>
        <v>4.7620568670494771E+34</v>
      </c>
      <c r="H722" s="4">
        <f>SalaryFTECount*SalaryPerFTE*(1+SalaryGrowth)^720</f>
        <v>3.8567686638360314E+17</v>
      </c>
      <c r="I722" s="4">
        <f>SimOpsY1*(1+SimOpsGrowth)^720</f>
        <v>3.4851799373242818E+28</v>
      </c>
      <c r="J722" s="4">
        <f>TrainDevY1*(1+TrainDevGrowth)^720</f>
        <v>1.7425899686621409E+28</v>
      </c>
      <c r="K722" s="4">
        <f>AdminY1*(1+AdminGrowth)^720</f>
        <v>3.3208784985727626E+22</v>
      </c>
      <c r="L722" s="4">
        <f t="shared" si="46"/>
        <v>5.2277732269034896E+28</v>
      </c>
      <c r="M722" s="4">
        <f t="shared" si="47"/>
        <v>4.7620516392762501E+34</v>
      </c>
    </row>
    <row r="723" spans="1:13" x14ac:dyDescent="0.2">
      <c r="A723" s="3">
        <f>StartYear+721</f>
        <v>2746</v>
      </c>
      <c r="B723" s="4">
        <f>FacultyFTE*HoursPerWeek*WeeksPerYear*RatePerHour*(1+PracticeGrowth)^721</f>
        <v>5.4560346176468471E+20</v>
      </c>
      <c r="C723" s="4">
        <f>StudentsY1*(1+StudentGrowth)^721*CreditsPerStudent*TuitionPerCredit</f>
        <v>3.4100216360292791E+21</v>
      </c>
      <c r="D723" s="4">
        <f>SimRevY1*(1+SimGrowth)^721</f>
        <v>3.4921750358360074E+34</v>
      </c>
      <c r="E723" s="4">
        <f>FacDevRevY1*(1+FacDevGrowth)^721</f>
        <v>1.7460875179180037E+34</v>
      </c>
      <c r="F723" s="4">
        <f t="shared" si="44"/>
        <v>5.2382625537543521E+34</v>
      </c>
      <c r="G723" s="4">
        <f t="shared" si="45"/>
        <v>5.2382625537544065E+34</v>
      </c>
      <c r="H723" s="4">
        <f>SalaryFTECount*SalaryPerFTE*(1+SalaryGrowth)^721</f>
        <v>4.0110394103894726E+17</v>
      </c>
      <c r="I723" s="4">
        <f>SimOpsY1*(1+SimOpsGrowth)^721</f>
        <v>3.7639943323102239E+28</v>
      </c>
      <c r="J723" s="4">
        <f>TrainDevY1*(1+TrainDevGrowth)^721</f>
        <v>1.8819971661551119E+28</v>
      </c>
      <c r="K723" s="4">
        <f>AdminY1*(1+AdminGrowth)^721</f>
        <v>3.5201312084871292E+22</v>
      </c>
      <c r="L723" s="4">
        <f t="shared" si="46"/>
        <v>5.6459950186366553E+28</v>
      </c>
      <c r="M723" s="4">
        <f t="shared" si="47"/>
        <v>5.2382569077593879E+34</v>
      </c>
    </row>
    <row r="724" spans="1:13" x14ac:dyDescent="0.2">
      <c r="A724" s="3">
        <f>StartYear+722</f>
        <v>2747</v>
      </c>
      <c r="B724" s="4">
        <f>FacultyFTE*HoursPerWeek*WeeksPerYear*RatePerHour*(1+PracticeGrowth)^722</f>
        <v>5.7288363485291885E+20</v>
      </c>
      <c r="C724" s="4">
        <f>StudentsY1*(1+StudentGrowth)^722*CreditsPerStudent*TuitionPerCredit</f>
        <v>3.5805227178307423E+21</v>
      </c>
      <c r="D724" s="4">
        <f>SimRevY1*(1+SimGrowth)^722</f>
        <v>3.8413925394196078E+34</v>
      </c>
      <c r="E724" s="4">
        <f>FacDevRevY1*(1+FacDevGrowth)^722</f>
        <v>1.9206962697098039E+34</v>
      </c>
      <c r="F724" s="4">
        <f t="shared" si="44"/>
        <v>5.7620888091297693E+34</v>
      </c>
      <c r="G724" s="4">
        <f t="shared" si="45"/>
        <v>5.7620888091298265E+34</v>
      </c>
      <c r="H724" s="4">
        <f>SalaryFTECount*SalaryPerFTE*(1+SalaryGrowth)^722</f>
        <v>4.1714809868050515E+17</v>
      </c>
      <c r="I724" s="4">
        <f>SimOpsY1*(1+SimOpsGrowth)^722</f>
        <v>4.0651138788950427E+28</v>
      </c>
      <c r="J724" s="4">
        <f>TrainDevY1*(1+TrainDevGrowth)^722</f>
        <v>2.0325569394475214E+28</v>
      </c>
      <c r="K724" s="4">
        <f>AdminY1*(1+AdminGrowth)^722</f>
        <v>3.7313390809963567E+22</v>
      </c>
      <c r="L724" s="4">
        <f t="shared" si="46"/>
        <v>6.0976745497233598E+28</v>
      </c>
      <c r="M724" s="4">
        <f t="shared" si="47"/>
        <v>5.7620827114552767E+34</v>
      </c>
    </row>
    <row r="725" spans="1:13" x14ac:dyDescent="0.2">
      <c r="A725" s="3">
        <f>StartYear+723</f>
        <v>2748</v>
      </c>
      <c r="B725" s="4">
        <f>FacultyFTE*HoursPerWeek*WeeksPerYear*RatePerHour*(1+PracticeGrowth)^723</f>
        <v>6.0152781659556479E+20</v>
      </c>
      <c r="C725" s="4">
        <f>StudentsY1*(1+StudentGrowth)^723*CreditsPerStudent*TuitionPerCredit</f>
        <v>3.7595488537222798E+21</v>
      </c>
      <c r="D725" s="4">
        <f>SimRevY1*(1+SimGrowth)^723</f>
        <v>4.2255317933615702E+34</v>
      </c>
      <c r="E725" s="4">
        <f>FacDevRevY1*(1+FacDevGrowth)^723</f>
        <v>2.1127658966807851E+34</v>
      </c>
      <c r="F725" s="4">
        <f t="shared" si="44"/>
        <v>6.3382976900427316E+34</v>
      </c>
      <c r="G725" s="4">
        <f t="shared" si="45"/>
        <v>6.3382976900427915E+34</v>
      </c>
      <c r="H725" s="4">
        <f>SalaryFTECount*SalaryPerFTE*(1+SalaryGrowth)^723</f>
        <v>4.3383402262772544E+17</v>
      </c>
      <c r="I725" s="4">
        <f>SimOpsY1*(1+SimOpsGrowth)^723</f>
        <v>4.3903229892066472E+28</v>
      </c>
      <c r="J725" s="4">
        <f>TrainDevY1*(1+TrainDevGrowth)^723</f>
        <v>2.1951614946033236E+28</v>
      </c>
      <c r="K725" s="4">
        <f>AdminY1*(1+AdminGrowth)^723</f>
        <v>3.9552194258561386E+22</v>
      </c>
      <c r="L725" s="4">
        <f t="shared" si="46"/>
        <v>6.5854884390727801E+28</v>
      </c>
      <c r="M725" s="4">
        <f t="shared" si="47"/>
        <v>6.338291104554352E+34</v>
      </c>
    </row>
    <row r="726" spans="1:13" x14ac:dyDescent="0.2">
      <c r="A726" s="3">
        <f>StartYear+724</f>
        <v>2749</v>
      </c>
      <c r="B726" s="4">
        <f>FacultyFTE*HoursPerWeek*WeeksPerYear*RatePerHour*(1+PracticeGrowth)^724</f>
        <v>6.3160420742534306E+20</v>
      </c>
      <c r="C726" s="4">
        <f>StudentsY1*(1+StudentGrowth)^724*CreditsPerStudent*TuitionPerCredit</f>
        <v>3.947526296408394E+21</v>
      </c>
      <c r="D726" s="4">
        <f>SimRevY1*(1+SimGrowth)^724</f>
        <v>4.6480849726977259E+34</v>
      </c>
      <c r="E726" s="4">
        <f>FacDevRevY1*(1+FacDevGrowth)^724</f>
        <v>2.324042486348863E+34</v>
      </c>
      <c r="F726" s="4">
        <f t="shared" si="44"/>
        <v>6.9721274590469841E+34</v>
      </c>
      <c r="G726" s="4">
        <f t="shared" si="45"/>
        <v>6.9721274590470468E+34</v>
      </c>
      <c r="H726" s="4">
        <f>SalaryFTECount*SalaryPerFTE*(1+SalaryGrowth)^724</f>
        <v>4.5118738353283443E+17</v>
      </c>
      <c r="I726" s="4">
        <f>SimOpsY1*(1+SimOpsGrowth)^724</f>
        <v>4.741548828343178E+28</v>
      </c>
      <c r="J726" s="4">
        <f>TrainDevY1*(1+TrainDevGrowth)^724</f>
        <v>2.370774414171589E+28</v>
      </c>
      <c r="K726" s="4">
        <f>AdminY1*(1+AdminGrowth)^724</f>
        <v>4.1925325914075065E+22</v>
      </c>
      <c r="L726" s="4">
        <f t="shared" si="46"/>
        <v>7.112327435092477E+28</v>
      </c>
      <c r="M726" s="4">
        <f t="shared" si="47"/>
        <v>6.9721203467196113E+34</v>
      </c>
    </row>
    <row r="727" spans="1:13" x14ac:dyDescent="0.2">
      <c r="A727" s="3">
        <f>StartYear+725</f>
        <v>2750</v>
      </c>
      <c r="B727" s="4">
        <f>FacultyFTE*HoursPerWeek*WeeksPerYear*RatePerHour*(1+PracticeGrowth)^725</f>
        <v>6.631844177966102E+20</v>
      </c>
      <c r="C727" s="4">
        <f>StudentsY1*(1+StudentGrowth)^725*CreditsPerStudent*TuitionPerCredit</f>
        <v>4.1449026112288137E+21</v>
      </c>
      <c r="D727" s="4">
        <f>SimRevY1*(1+SimGrowth)^725</f>
        <v>5.1128934699675003E+34</v>
      </c>
      <c r="E727" s="4">
        <f>FacDevRevY1*(1+FacDevGrowth)^725</f>
        <v>2.5564467349837501E+34</v>
      </c>
      <c r="F727" s="4">
        <f t="shared" si="44"/>
        <v>7.6693402049516641E+34</v>
      </c>
      <c r="G727" s="4">
        <f t="shared" si="45"/>
        <v>7.6693402049517305E+34</v>
      </c>
      <c r="H727" s="4">
        <f>SalaryFTECount*SalaryPerFTE*(1+SalaryGrowth)^725</f>
        <v>4.6923487887414784E+17</v>
      </c>
      <c r="I727" s="4">
        <f>SimOpsY1*(1+SimOpsGrowth)^725</f>
        <v>5.1208727346106335E+28</v>
      </c>
      <c r="J727" s="4">
        <f>TrainDevY1*(1+TrainDevGrowth)^725</f>
        <v>2.5604363673053167E+28</v>
      </c>
      <c r="K727" s="4">
        <f>AdminY1*(1+AdminGrowth)^725</f>
        <v>4.4440845468919579E+22</v>
      </c>
      <c r="L727" s="4">
        <f t="shared" si="46"/>
        <v>7.6813135460474207E+28</v>
      </c>
      <c r="M727" s="4">
        <f t="shared" si="47"/>
        <v>7.6693325236381846E+34</v>
      </c>
    </row>
    <row r="728" spans="1:13" x14ac:dyDescent="0.2">
      <c r="A728" s="3">
        <f>StartYear+726</f>
        <v>2751</v>
      </c>
      <c r="B728" s="4">
        <f>FacultyFTE*HoursPerWeek*WeeksPerYear*RatePerHour*(1+PracticeGrowth)^726</f>
        <v>6.9634363868644062E+20</v>
      </c>
      <c r="C728" s="4">
        <f>StudentsY1*(1+StudentGrowth)^726*CreditsPerStudent*TuitionPerCredit</f>
        <v>4.3521477417902544E+21</v>
      </c>
      <c r="D728" s="4">
        <f>SimRevY1*(1+SimGrowth)^726</f>
        <v>5.6241828169642509E+34</v>
      </c>
      <c r="E728" s="4">
        <f>FacDevRevY1*(1+FacDevGrowth)^726</f>
        <v>2.8120914084821255E+34</v>
      </c>
      <c r="F728" s="4">
        <f t="shared" si="44"/>
        <v>8.4362742254468122E+34</v>
      </c>
      <c r="G728" s="4">
        <f t="shared" si="45"/>
        <v>8.4362742254468823E+34</v>
      </c>
      <c r="H728" s="4">
        <f>SalaryFTECount*SalaryPerFTE*(1+SalaryGrowth)^726</f>
        <v>4.8800427402911392E+17</v>
      </c>
      <c r="I728" s="4">
        <f>SimOpsY1*(1+SimOpsGrowth)^726</f>
        <v>5.5305425533794835E+28</v>
      </c>
      <c r="J728" s="4">
        <f>TrainDevY1*(1+TrainDevGrowth)^726</f>
        <v>2.7652712766897418E+28</v>
      </c>
      <c r="K728" s="4">
        <f>AdminY1*(1+AdminGrowth)^726</f>
        <v>4.7107296197054757E+22</v>
      </c>
      <c r="L728" s="4">
        <f t="shared" si="46"/>
        <v>8.2958185408476459E+28</v>
      </c>
      <c r="M728" s="4">
        <f t="shared" si="47"/>
        <v>8.4362659296283419E+34</v>
      </c>
    </row>
    <row r="729" spans="1:13" x14ac:dyDescent="0.2">
      <c r="A729" s="3">
        <f>StartYear+727</f>
        <v>2752</v>
      </c>
      <c r="B729" s="4">
        <f>FacultyFTE*HoursPerWeek*WeeksPerYear*RatePerHour*(1+PracticeGrowth)^727</f>
        <v>7.3116082062076281E+20</v>
      </c>
      <c r="C729" s="4">
        <f>StudentsY1*(1+StudentGrowth)^727*CreditsPerStudent*TuitionPerCredit</f>
        <v>4.5697551288797674E+21</v>
      </c>
      <c r="D729" s="4">
        <f>SimRevY1*(1+SimGrowth)^727</f>
        <v>6.1866010986606756E+34</v>
      </c>
      <c r="E729" s="4">
        <f>FacDevRevY1*(1+FacDevGrowth)^727</f>
        <v>3.0933005493303378E+34</v>
      </c>
      <c r="F729" s="4">
        <f t="shared" si="44"/>
        <v>9.2799016479914694E+34</v>
      </c>
      <c r="G729" s="4">
        <f t="shared" si="45"/>
        <v>9.2799016479915432E+34</v>
      </c>
      <c r="H729" s="4">
        <f>SalaryFTECount*SalaryPerFTE*(1+SalaryGrowth)^727</f>
        <v>5.0752444499027827E+17</v>
      </c>
      <c r="I729" s="4">
        <f>SimOpsY1*(1+SimOpsGrowth)^727</f>
        <v>5.9729859576498429E+28</v>
      </c>
      <c r="J729" s="4">
        <f>TrainDevY1*(1+TrainDevGrowth)^727</f>
        <v>2.9864929788249214E+28</v>
      </c>
      <c r="K729" s="4">
        <f>AdminY1*(1+AdminGrowth)^727</f>
        <v>4.9933733968878059E+22</v>
      </c>
      <c r="L729" s="4">
        <f t="shared" si="46"/>
        <v>8.9594839298989133E+28</v>
      </c>
      <c r="M729" s="4">
        <f t="shared" si="47"/>
        <v>9.2798926885076125E+34</v>
      </c>
    </row>
    <row r="730" spans="1:13" x14ac:dyDescent="0.2">
      <c r="A730" s="3">
        <f>StartYear+728</f>
        <v>2753</v>
      </c>
      <c r="B730" s="4">
        <f>FacultyFTE*HoursPerWeek*WeeksPerYear*RatePerHour*(1+PracticeGrowth)^728</f>
        <v>7.6771886165180075E+20</v>
      </c>
      <c r="C730" s="4">
        <f>StudentsY1*(1+StudentGrowth)^728*CreditsPerStudent*TuitionPerCredit</f>
        <v>4.7982428853237543E+21</v>
      </c>
      <c r="D730" s="4">
        <f>SimRevY1*(1+SimGrowth)^728</f>
        <v>6.8052612085267438E+34</v>
      </c>
      <c r="E730" s="4">
        <f>FacDevRevY1*(1+FacDevGrowth)^728</f>
        <v>3.4026306042633719E+34</v>
      </c>
      <c r="F730" s="4">
        <f t="shared" si="44"/>
        <v>1.0207891812790596E+35</v>
      </c>
      <c r="G730" s="4">
        <f t="shared" si="45"/>
        <v>1.0207891812790673E+35</v>
      </c>
      <c r="H730" s="4">
        <f>SalaryFTECount*SalaryPerFTE*(1+SalaryGrowth)^728</f>
        <v>5.2782542278988947E+17</v>
      </c>
      <c r="I730" s="4">
        <f>SimOpsY1*(1+SimOpsGrowth)^728</f>
        <v>6.4508248342618301E+28</v>
      </c>
      <c r="J730" s="4">
        <f>TrainDevY1*(1+TrainDevGrowth)^728</f>
        <v>3.2254124171309151E+28</v>
      </c>
      <c r="K730" s="4">
        <f>AdminY1*(1+AdminGrowth)^728</f>
        <v>5.2929758007010727E+22</v>
      </c>
      <c r="L730" s="4">
        <f t="shared" si="46"/>
        <v>9.6762425444213289E+28</v>
      </c>
      <c r="M730" s="4">
        <f t="shared" si="47"/>
        <v>1.0207882136548129E+35</v>
      </c>
    </row>
    <row r="731" spans="1:13" x14ac:dyDescent="0.2">
      <c r="A731" s="3">
        <f>StartYear+729</f>
        <v>2754</v>
      </c>
      <c r="B731" s="4">
        <f>FacultyFTE*HoursPerWeek*WeeksPerYear*RatePerHour*(1+PracticeGrowth)^729</f>
        <v>8.0610480473439089E+20</v>
      </c>
      <c r="C731" s="4">
        <f>StudentsY1*(1+StudentGrowth)^729*CreditsPerStudent*TuitionPerCredit</f>
        <v>5.0381550295899439E+21</v>
      </c>
      <c r="D731" s="4">
        <f>SimRevY1*(1+SimGrowth)^729</f>
        <v>7.4857873293794186E+34</v>
      </c>
      <c r="E731" s="4">
        <f>FacDevRevY1*(1+FacDevGrowth)^729</f>
        <v>3.7428936646897093E+34</v>
      </c>
      <c r="F731" s="4">
        <f t="shared" si="44"/>
        <v>1.1228680994069631E+35</v>
      </c>
      <c r="G731" s="4">
        <f t="shared" si="45"/>
        <v>1.1228680994069713E+35</v>
      </c>
      <c r="H731" s="4">
        <f>SalaryFTECount*SalaryPerFTE*(1+SalaryGrowth)^729</f>
        <v>5.4893843970148518E+17</v>
      </c>
      <c r="I731" s="4">
        <f>SimOpsY1*(1+SimOpsGrowth)^729</f>
        <v>6.9668908210027772E+28</v>
      </c>
      <c r="J731" s="4">
        <f>TrainDevY1*(1+TrainDevGrowth)^729</f>
        <v>3.4834454105013886E+28</v>
      </c>
      <c r="K731" s="4">
        <f>AdminY1*(1+AdminGrowth)^729</f>
        <v>5.6105543487431375E+22</v>
      </c>
      <c r="L731" s="4">
        <f t="shared" si="46"/>
        <v>1.0450341842113409E+29</v>
      </c>
      <c r="M731" s="4">
        <f t="shared" si="47"/>
        <v>1.1228670543727871E+35</v>
      </c>
    </row>
    <row r="732" spans="1:13" x14ac:dyDescent="0.2">
      <c r="A732" s="3">
        <f>StartYear+730</f>
        <v>2755</v>
      </c>
      <c r="B732" s="4">
        <f>FacultyFTE*HoursPerWeek*WeeksPerYear*RatePerHour*(1+PracticeGrowth)^730</f>
        <v>8.4641004497111037E+20</v>
      </c>
      <c r="C732" s="4">
        <f>StudentsY1*(1+StudentGrowth)^730*CreditsPerStudent*TuitionPerCredit</f>
        <v>5.2900627810694401E+21</v>
      </c>
      <c r="D732" s="4">
        <f>SimRevY1*(1+SimGrowth)^730</f>
        <v>8.2343660623173616E+34</v>
      </c>
      <c r="E732" s="4">
        <f>FacDevRevY1*(1+FacDevGrowth)^730</f>
        <v>4.1171830311586808E+34</v>
      </c>
      <c r="F732" s="4">
        <f t="shared" si="44"/>
        <v>1.2351549093476572E+35</v>
      </c>
      <c r="G732" s="4">
        <f t="shared" si="45"/>
        <v>1.2351549093476657E+35</v>
      </c>
      <c r="H732" s="4">
        <f>SalaryFTECount*SalaryPerFTE*(1+SalaryGrowth)^730</f>
        <v>5.7089597728954445E+17</v>
      </c>
      <c r="I732" s="4">
        <f>SimOpsY1*(1+SimOpsGrowth)^730</f>
        <v>7.5242420866829992E+28</v>
      </c>
      <c r="J732" s="4">
        <f>TrainDevY1*(1+TrainDevGrowth)^730</f>
        <v>3.7621210433414996E+28</v>
      </c>
      <c r="K732" s="4">
        <f>AdminY1*(1+AdminGrowth)^730</f>
        <v>5.9471876096677254E+22</v>
      </c>
      <c r="L732" s="4">
        <f t="shared" si="46"/>
        <v>1.1286369077269197E+29</v>
      </c>
      <c r="M732" s="4">
        <f t="shared" si="47"/>
        <v>1.2351537807107578E+35</v>
      </c>
    </row>
    <row r="733" spans="1:13" x14ac:dyDescent="0.2">
      <c r="A733" s="3">
        <f>StartYear+731</f>
        <v>2756</v>
      </c>
      <c r="B733" s="4">
        <f>FacultyFTE*HoursPerWeek*WeeksPerYear*RatePerHour*(1+PracticeGrowth)^731</f>
        <v>8.8873054721966617E+20</v>
      </c>
      <c r="C733" s="4">
        <f>StudentsY1*(1+StudentGrowth)^731*CreditsPerStudent*TuitionPerCredit</f>
        <v>5.5545659201229139E+21</v>
      </c>
      <c r="D733" s="4">
        <f>SimRevY1*(1+SimGrowth)^731</f>
        <v>9.0578026685490985E+34</v>
      </c>
      <c r="E733" s="4">
        <f>FacDevRevY1*(1+FacDevGrowth)^731</f>
        <v>4.5289013342745492E+34</v>
      </c>
      <c r="F733" s="4">
        <f t="shared" si="44"/>
        <v>1.3586704002824203E+35</v>
      </c>
      <c r="G733" s="4">
        <f t="shared" si="45"/>
        <v>1.3586704002824291E+35</v>
      </c>
      <c r="H733" s="4">
        <f>SalaryFTECount*SalaryPerFTE*(1+SalaryGrowth)^731</f>
        <v>5.9373181638112627E+17</v>
      </c>
      <c r="I733" s="4">
        <f>SimOpsY1*(1+SimOpsGrowth)^731</f>
        <v>8.1261814536176392E+28</v>
      </c>
      <c r="J733" s="4">
        <f>TrainDevY1*(1+TrainDevGrowth)^731</f>
        <v>4.0630907268088196E+28</v>
      </c>
      <c r="K733" s="4">
        <f>AdminY1*(1+AdminGrowth)^731</f>
        <v>6.3040188662477905E+22</v>
      </c>
      <c r="L733" s="4">
        <f t="shared" si="46"/>
        <v>1.2189278484504698E+29</v>
      </c>
      <c r="M733" s="4">
        <f t="shared" si="47"/>
        <v>1.3586691813545807E+35</v>
      </c>
    </row>
    <row r="734" spans="1:13" x14ac:dyDescent="0.2">
      <c r="A734" s="3">
        <f>StartYear+732</f>
        <v>2757</v>
      </c>
      <c r="B734" s="4">
        <f>FacultyFTE*HoursPerWeek*WeeksPerYear*RatePerHour*(1+PracticeGrowth)^732</f>
        <v>9.3316707458064935E+20</v>
      </c>
      <c r="C734" s="4">
        <f>StudentsY1*(1+StudentGrowth)^732*CreditsPerStudent*TuitionPerCredit</f>
        <v>5.8322942161290579E+21</v>
      </c>
      <c r="D734" s="4">
        <f>SimRevY1*(1+SimGrowth)^732</f>
        <v>9.9635829354040072E+34</v>
      </c>
      <c r="E734" s="4">
        <f>FacDevRevY1*(1+FacDevGrowth)^732</f>
        <v>4.9817914677020036E+34</v>
      </c>
      <c r="F734" s="4">
        <f t="shared" si="44"/>
        <v>1.4945374403106594E+35</v>
      </c>
      <c r="G734" s="4">
        <f t="shared" si="45"/>
        <v>1.4945374403106688E+35</v>
      </c>
      <c r="H734" s="4">
        <f>SalaryFTECount*SalaryPerFTE*(1+SalaryGrowth)^732</f>
        <v>6.1748108903637146E+17</v>
      </c>
      <c r="I734" s="4">
        <f>SimOpsY1*(1+SimOpsGrowth)^732</f>
        <v>8.7762759699070507E+28</v>
      </c>
      <c r="J734" s="4">
        <f>TrainDevY1*(1+TrainDevGrowth)^732</f>
        <v>4.3881379849535254E+28</v>
      </c>
      <c r="K734" s="4">
        <f>AdminY1*(1+AdminGrowth)^732</f>
        <v>6.6822599982226577E+22</v>
      </c>
      <c r="L734" s="4">
        <f t="shared" si="46"/>
        <v>1.3164420637182323E+29</v>
      </c>
      <c r="M734" s="4">
        <f t="shared" si="47"/>
        <v>1.4945361238686051E+35</v>
      </c>
    </row>
    <row r="735" spans="1:13" x14ac:dyDescent="0.2">
      <c r="A735" s="3">
        <f>StartYear+733</f>
        <v>2758</v>
      </c>
      <c r="B735" s="4">
        <f>FacultyFTE*HoursPerWeek*WeeksPerYear*RatePerHour*(1+PracticeGrowth)^733</f>
        <v>9.798254283096819E+20</v>
      </c>
      <c r="C735" s="4">
        <f>StudentsY1*(1+StudentGrowth)^733*CreditsPerStudent*TuitionPerCredit</f>
        <v>6.1239089269355126E+21</v>
      </c>
      <c r="D735" s="4">
        <f>SimRevY1*(1+SimGrowth)^733</f>
        <v>1.0959941228944409E+35</v>
      </c>
      <c r="E735" s="4">
        <f>FacDevRevY1*(1+FacDevGrowth)^733</f>
        <v>5.4799706144722047E+34</v>
      </c>
      <c r="F735" s="4">
        <f t="shared" si="44"/>
        <v>1.6439911843417227E+35</v>
      </c>
      <c r="G735" s="4">
        <f t="shared" si="45"/>
        <v>1.6439911843417325E+35</v>
      </c>
      <c r="H735" s="4">
        <f>SalaryFTECount*SalaryPerFTE*(1+SalaryGrowth)^733</f>
        <v>6.4218033259782643E+17</v>
      </c>
      <c r="I735" s="4">
        <f>SimOpsY1*(1+SimOpsGrowth)^733</f>
        <v>9.4783780474996139E+28</v>
      </c>
      <c r="J735" s="4">
        <f>TrainDevY1*(1+TrainDevGrowth)^733</f>
        <v>4.739189023749807E+28</v>
      </c>
      <c r="K735" s="4">
        <f>AdminY1*(1+AdminGrowth)^733</f>
        <v>7.0831955981160182E+22</v>
      </c>
      <c r="L735" s="4">
        <f t="shared" si="46"/>
        <v>1.4217574154509238E+29</v>
      </c>
      <c r="M735" s="4">
        <f t="shared" si="47"/>
        <v>1.6439897625843171E+35</v>
      </c>
    </row>
    <row r="736" spans="1:13" x14ac:dyDescent="0.2">
      <c r="A736" s="3">
        <f>StartYear+734</f>
        <v>2759</v>
      </c>
      <c r="B736" s="4">
        <f>FacultyFTE*HoursPerWeek*WeeksPerYear*RatePerHour*(1+PracticeGrowth)^734</f>
        <v>1.0288166997251656E+21</v>
      </c>
      <c r="C736" s="4">
        <f>StudentsY1*(1+StudentGrowth)^734*CreditsPerStudent*TuitionPerCredit</f>
        <v>6.4301043732822863E+21</v>
      </c>
      <c r="D736" s="4">
        <f>SimRevY1*(1+SimGrowth)^734</f>
        <v>1.2055935351838854E+35</v>
      </c>
      <c r="E736" s="4">
        <f>FacDevRevY1*(1+FacDevGrowth)^734</f>
        <v>6.0279676759194271E+34</v>
      </c>
      <c r="F736" s="4">
        <f t="shared" si="44"/>
        <v>1.8083903027758923E+35</v>
      </c>
      <c r="G736" s="4">
        <f t="shared" si="45"/>
        <v>1.8083903027759027E+35</v>
      </c>
      <c r="H736" s="4">
        <f>SalaryFTECount*SalaryPerFTE*(1+SalaryGrowth)^734</f>
        <v>6.6786754590173926E+17</v>
      </c>
      <c r="I736" s="4">
        <f>SimOpsY1*(1+SimOpsGrowth)^734</f>
        <v>1.0236648291299586E+29</v>
      </c>
      <c r="J736" s="4">
        <f>TrainDevY1*(1+TrainDevGrowth)^734</f>
        <v>5.1183241456497928E+28</v>
      </c>
      <c r="K736" s="4">
        <f>AdminY1*(1+AdminGrowth)^734</f>
        <v>7.5081873340029802E+22</v>
      </c>
      <c r="L736" s="4">
        <f t="shared" si="46"/>
        <v>1.5354979945203499E+29</v>
      </c>
      <c r="M736" s="4">
        <f t="shared" si="47"/>
        <v>1.808388767277908E+35</v>
      </c>
    </row>
    <row r="737" spans="1:13" x14ac:dyDescent="0.2">
      <c r="A737" s="3">
        <f>StartYear+735</f>
        <v>2760</v>
      </c>
      <c r="B737" s="4">
        <f>FacultyFTE*HoursPerWeek*WeeksPerYear*RatePerHour*(1+PracticeGrowth)^735</f>
        <v>1.0802575347114245E+21</v>
      </c>
      <c r="C737" s="4">
        <f>StudentsY1*(1+StudentGrowth)^735*CreditsPerStudent*TuitionPerCredit</f>
        <v>6.7516095919464026E+21</v>
      </c>
      <c r="D737" s="4">
        <f>SimRevY1*(1+SimGrowth)^735</f>
        <v>1.3261528887022736E+35</v>
      </c>
      <c r="E737" s="4">
        <f>FacDevRevY1*(1+FacDevGrowth)^735</f>
        <v>6.630764443511368E+34</v>
      </c>
      <c r="F737" s="4">
        <f t="shared" si="44"/>
        <v>1.9892293330534781E+35</v>
      </c>
      <c r="G737" s="4">
        <f t="shared" si="45"/>
        <v>1.9892293330534888E+35</v>
      </c>
      <c r="H737" s="4">
        <f>SalaryFTECount*SalaryPerFTE*(1+SalaryGrowth)^735</f>
        <v>6.9458224773780902E+17</v>
      </c>
      <c r="I737" s="4">
        <f>SimOpsY1*(1+SimOpsGrowth)^735</f>
        <v>1.1055580154603555E+29</v>
      </c>
      <c r="J737" s="4">
        <f>TrainDevY1*(1+TrainDevGrowth)^735</f>
        <v>5.5277900773017774E+28</v>
      </c>
      <c r="K737" s="4">
        <f>AdminY1*(1+AdminGrowth)^735</f>
        <v>7.9586785740431592E+22</v>
      </c>
      <c r="L737" s="4">
        <f t="shared" si="46"/>
        <v>1.6583378190653365E+29</v>
      </c>
      <c r="M737" s="4">
        <f t="shared" si="47"/>
        <v>1.9892276747156699E+35</v>
      </c>
    </row>
    <row r="738" spans="1:13" x14ac:dyDescent="0.2">
      <c r="A738" s="3">
        <f>StartYear+736</f>
        <v>2761</v>
      </c>
      <c r="B738" s="4">
        <f>FacultyFTE*HoursPerWeek*WeeksPerYear*RatePerHour*(1+PracticeGrowth)^736</f>
        <v>1.1342704114469955E+21</v>
      </c>
      <c r="C738" s="4">
        <f>StudentsY1*(1+StudentGrowth)^736*CreditsPerStudent*TuitionPerCredit</f>
        <v>7.0891900715437214E+21</v>
      </c>
      <c r="D738" s="4">
        <f>SimRevY1*(1+SimGrowth)^736</f>
        <v>1.4587681775725015E+35</v>
      </c>
      <c r="E738" s="4">
        <f>FacDevRevY1*(1+FacDevGrowth)^736</f>
        <v>7.2938408878625074E+34</v>
      </c>
      <c r="F738" s="4">
        <f t="shared" si="44"/>
        <v>2.1881522663588229E+35</v>
      </c>
      <c r="G738" s="4">
        <f t="shared" si="45"/>
        <v>2.1881522663588344E+35</v>
      </c>
      <c r="H738" s="4">
        <f>SalaryFTECount*SalaryPerFTE*(1+SalaryGrowth)^736</f>
        <v>7.2236553764732147E+17</v>
      </c>
      <c r="I738" s="4">
        <f>SimOpsY1*(1+SimOpsGrowth)^736</f>
        <v>1.1940026566971839E+29</v>
      </c>
      <c r="J738" s="4">
        <f>TrainDevY1*(1+TrainDevGrowth)^736</f>
        <v>5.9700132834859195E+28</v>
      </c>
      <c r="K738" s="4">
        <f>AdminY1*(1+AdminGrowth)^736</f>
        <v>8.4361992884857472E+22</v>
      </c>
      <c r="L738" s="4">
        <f t="shared" si="46"/>
        <v>1.7910048286729287E+29</v>
      </c>
      <c r="M738" s="4">
        <f t="shared" si="47"/>
        <v>2.1881504753540059E+35</v>
      </c>
    </row>
    <row r="739" spans="1:13" x14ac:dyDescent="0.2">
      <c r="A739" s="3">
        <f>StartYear+737</f>
        <v>2762</v>
      </c>
      <c r="B739" s="4">
        <f>FacultyFTE*HoursPerWeek*WeeksPerYear*RatePerHour*(1+PracticeGrowth)^737</f>
        <v>1.1909839320193452E+21</v>
      </c>
      <c r="C739" s="4">
        <f>StudentsY1*(1+StudentGrowth)^737*CreditsPerStudent*TuitionPerCredit</f>
        <v>7.4436495751209088E+21</v>
      </c>
      <c r="D739" s="4">
        <f>SimRevY1*(1+SimGrowth)^737</f>
        <v>1.6046449953297514E+35</v>
      </c>
      <c r="E739" s="4">
        <f>FacDevRevY1*(1+FacDevGrowth)^737</f>
        <v>8.0232249766487571E+34</v>
      </c>
      <c r="F739" s="4">
        <f t="shared" si="44"/>
        <v>2.4069674929947016E+35</v>
      </c>
      <c r="G739" s="4">
        <f t="shared" si="45"/>
        <v>2.4069674929947134E+35</v>
      </c>
      <c r="H739" s="4">
        <f>SalaryFTECount*SalaryPerFTE*(1+SalaryGrowth)^737</f>
        <v>7.5126015915321434E+17</v>
      </c>
      <c r="I739" s="4">
        <f>SimOpsY1*(1+SimOpsGrowth)^737</f>
        <v>1.2895228692329585E+29</v>
      </c>
      <c r="J739" s="4">
        <f>TrainDevY1*(1+TrainDevGrowth)^737</f>
        <v>6.4476143461647924E+28</v>
      </c>
      <c r="K739" s="4">
        <f>AdminY1*(1+AdminGrowth)^737</f>
        <v>8.9423712457948926E+22</v>
      </c>
      <c r="L739" s="4">
        <f t="shared" si="46"/>
        <v>1.9342851980940752E+29</v>
      </c>
      <c r="M739" s="4">
        <f t="shared" si="47"/>
        <v>2.4069655587095152E+35</v>
      </c>
    </row>
    <row r="740" spans="1:13" x14ac:dyDescent="0.2">
      <c r="A740" s="3">
        <f>StartYear+738</f>
        <v>2763</v>
      </c>
      <c r="B740" s="4">
        <f>FacultyFTE*HoursPerWeek*WeeksPerYear*RatePerHour*(1+PracticeGrowth)^738</f>
        <v>1.2505331286203126E+21</v>
      </c>
      <c r="C740" s="4">
        <f>StudentsY1*(1+StudentGrowth)^738*CreditsPerStudent*TuitionPerCredit</f>
        <v>7.815832053876954E+21</v>
      </c>
      <c r="D740" s="4">
        <f>SimRevY1*(1+SimGrowth)^738</f>
        <v>1.7651094948627267E+35</v>
      </c>
      <c r="E740" s="4">
        <f>FacDevRevY1*(1+FacDevGrowth)^738</f>
        <v>8.8255474743136334E+34</v>
      </c>
      <c r="F740" s="4">
        <f t="shared" si="44"/>
        <v>2.6476642422941681E+35</v>
      </c>
      <c r="G740" s="4">
        <f t="shared" si="45"/>
        <v>2.6476642422941806E+35</v>
      </c>
      <c r="H740" s="4">
        <f>SalaryFTECount*SalaryPerFTE*(1+SalaryGrowth)^738</f>
        <v>7.8131056551934298E+17</v>
      </c>
      <c r="I740" s="4">
        <f>SimOpsY1*(1+SimOpsGrowth)^738</f>
        <v>1.3926846987715951E+29</v>
      </c>
      <c r="J740" s="4">
        <f>TrainDevY1*(1+TrainDevGrowth)^738</f>
        <v>6.9634234938579757E+28</v>
      </c>
      <c r="K740" s="4">
        <f>AdminY1*(1+AdminGrowth)^738</f>
        <v>9.4789135205425876E+22</v>
      </c>
      <c r="L740" s="4">
        <f t="shared" si="46"/>
        <v>2.089027996056558E+29</v>
      </c>
      <c r="M740" s="4">
        <f t="shared" si="47"/>
        <v>2.6476621532661846E+35</v>
      </c>
    </row>
    <row r="741" spans="1:13" x14ac:dyDescent="0.2">
      <c r="A741" s="3">
        <f>StartYear+739</f>
        <v>2764</v>
      </c>
      <c r="B741" s="4">
        <f>FacultyFTE*HoursPerWeek*WeeksPerYear*RatePerHour*(1+PracticeGrowth)^739</f>
        <v>1.3130597850513285E+21</v>
      </c>
      <c r="C741" s="4">
        <f>StudentsY1*(1+StudentGrowth)^739*CreditsPerStudent*TuitionPerCredit</f>
        <v>8.2066236565708027E+21</v>
      </c>
      <c r="D741" s="4">
        <f>SimRevY1*(1+SimGrowth)^739</f>
        <v>1.9416204443489998E+35</v>
      </c>
      <c r="E741" s="4">
        <f>FacDevRevY1*(1+FacDevGrowth)^739</f>
        <v>9.7081022217449988E+34</v>
      </c>
      <c r="F741" s="4">
        <f t="shared" si="44"/>
        <v>2.9124306665235815E+35</v>
      </c>
      <c r="G741" s="4">
        <f t="shared" si="45"/>
        <v>2.9124306665235948E+35</v>
      </c>
      <c r="H741" s="4">
        <f>SalaryFTECount*SalaryPerFTE*(1+SalaryGrowth)^739</f>
        <v>8.1256298814011661E+17</v>
      </c>
      <c r="I741" s="4">
        <f>SimOpsY1*(1+SimOpsGrowth)^739</f>
        <v>1.5040994746733231E+29</v>
      </c>
      <c r="J741" s="4">
        <f>TrainDevY1*(1+TrainDevGrowth)^739</f>
        <v>7.5204973733666154E+28</v>
      </c>
      <c r="K741" s="4">
        <f>AdminY1*(1+AdminGrowth)^739</f>
        <v>1.0047648331775141E+23</v>
      </c>
      <c r="L741" s="4">
        <f t="shared" si="46"/>
        <v>2.2561502167829435E+29</v>
      </c>
      <c r="M741" s="4">
        <f t="shared" si="47"/>
        <v>2.9124284103733781E+35</v>
      </c>
    </row>
    <row r="742" spans="1:13" x14ac:dyDescent="0.2">
      <c r="A742" s="3">
        <f>StartYear+740</f>
        <v>2765</v>
      </c>
      <c r="B742" s="4">
        <f>FacultyFTE*HoursPerWeek*WeeksPerYear*RatePerHour*(1+PracticeGrowth)^740</f>
        <v>1.3787127743038945E+21</v>
      </c>
      <c r="C742" s="4">
        <f>StudentsY1*(1+StudentGrowth)^740*CreditsPerStudent*TuitionPerCredit</f>
        <v>8.6169548393993407E+21</v>
      </c>
      <c r="D742" s="4">
        <f>SimRevY1*(1+SimGrowth)^740</f>
        <v>2.1357824887838997E+35</v>
      </c>
      <c r="E742" s="4">
        <f>FacDevRevY1*(1+FacDevGrowth)^740</f>
        <v>1.0678912443919499E+35</v>
      </c>
      <c r="F742" s="4">
        <f t="shared" si="44"/>
        <v>3.2036737331759359E+35</v>
      </c>
      <c r="G742" s="4">
        <f t="shared" si="45"/>
        <v>3.2036737331759496E+35</v>
      </c>
      <c r="H742" s="4">
        <f>SalaryFTECount*SalaryPerFTE*(1+SalaryGrowth)^740</f>
        <v>8.4506550766572134E+17</v>
      </c>
      <c r="I742" s="4">
        <f>SimOpsY1*(1+SimOpsGrowth)^740</f>
        <v>1.6244274326471893E+29</v>
      </c>
      <c r="J742" s="4">
        <f>TrainDevY1*(1+TrainDevGrowth)^740</f>
        <v>8.1221371632359464E+28</v>
      </c>
      <c r="K742" s="4">
        <f>AdminY1*(1+AdminGrowth)^740</f>
        <v>1.0650507231681653E+23</v>
      </c>
      <c r="L742" s="4">
        <f t="shared" si="46"/>
        <v>2.4366422140299574E+29</v>
      </c>
      <c r="M742" s="4">
        <f t="shared" si="47"/>
        <v>3.2036712965337356E+35</v>
      </c>
    </row>
    <row r="743" spans="1:13" x14ac:dyDescent="0.2">
      <c r="A743" s="3">
        <f>StartYear+741</f>
        <v>2766</v>
      </c>
      <c r="B743" s="4">
        <f>FacultyFTE*HoursPerWeek*WeeksPerYear*RatePerHour*(1+PracticeGrowth)^741</f>
        <v>1.4476484130190891E+21</v>
      </c>
      <c r="C743" s="4">
        <f>StudentsY1*(1+StudentGrowth)^741*CreditsPerStudent*TuitionPerCredit</f>
        <v>9.047802581369307E+21</v>
      </c>
      <c r="D743" s="4">
        <f>SimRevY1*(1+SimGrowth)^741</f>
        <v>2.3493607376622899E+35</v>
      </c>
      <c r="E743" s="4">
        <f>FacDevRevY1*(1+FacDevGrowth)^741</f>
        <v>1.174680368831145E+35</v>
      </c>
      <c r="F743" s="4">
        <f t="shared" si="44"/>
        <v>3.5240411064935251E+35</v>
      </c>
      <c r="G743" s="4">
        <f t="shared" si="45"/>
        <v>3.5240411064935399E+35</v>
      </c>
      <c r="H743" s="4">
        <f>SalaryFTECount*SalaryPerFTE*(1+SalaryGrowth)^741</f>
        <v>8.7886812797235034E+17</v>
      </c>
      <c r="I743" s="4">
        <f>SimOpsY1*(1+SimOpsGrowth)^741</f>
        <v>1.7543816272589642E+29</v>
      </c>
      <c r="J743" s="4">
        <f>TrainDevY1*(1+TrainDevGrowth)^741</f>
        <v>8.7719081362948208E+28</v>
      </c>
      <c r="K743" s="4">
        <f>AdminY1*(1+AdminGrowth)^741</f>
        <v>1.1289537665582551E+23</v>
      </c>
      <c r="L743" s="4">
        <f t="shared" si="46"/>
        <v>2.6315735698510016E+29</v>
      </c>
      <c r="M743" s="4">
        <f t="shared" si="47"/>
        <v>3.5240384749199699E+35</v>
      </c>
    </row>
    <row r="744" spans="1:13" x14ac:dyDescent="0.2">
      <c r="A744" s="3">
        <f>StartYear+742</f>
        <v>2767</v>
      </c>
      <c r="B744" s="4">
        <f>FacultyFTE*HoursPerWeek*WeeksPerYear*RatePerHour*(1+PracticeGrowth)^742</f>
        <v>1.5200308336700437E+21</v>
      </c>
      <c r="C744" s="4">
        <f>StudentsY1*(1+StudentGrowth)^742*CreditsPerStudent*TuitionPerCredit</f>
        <v>9.5001927104377725E+21</v>
      </c>
      <c r="D744" s="4">
        <f>SimRevY1*(1+SimGrowth)^742</f>
        <v>2.5842968114285191E+35</v>
      </c>
      <c r="E744" s="4">
        <f>FacDevRevY1*(1+FacDevGrowth)^742</f>
        <v>1.2921484057142596E+35</v>
      </c>
      <c r="F744" s="4">
        <f t="shared" si="44"/>
        <v>3.8764452171428742E+35</v>
      </c>
      <c r="G744" s="4">
        <f t="shared" si="45"/>
        <v>3.8764452171428897E+35</v>
      </c>
      <c r="H744" s="4">
        <f>SalaryFTECount*SalaryPerFTE*(1+SalaryGrowth)^742</f>
        <v>9.1402285309124416E+17</v>
      </c>
      <c r="I744" s="4">
        <f>SimOpsY1*(1+SimOpsGrowth)^742</f>
        <v>1.8947321574396816E+29</v>
      </c>
      <c r="J744" s="4">
        <f>TrainDevY1*(1+TrainDevGrowth)^742</f>
        <v>9.4736607871984082E+28</v>
      </c>
      <c r="K744" s="4">
        <f>AdminY1*(1+AdminGrowth)^742</f>
        <v>1.1966909925517507E+23</v>
      </c>
      <c r="L744" s="4">
        <f t="shared" si="46"/>
        <v>2.8420994328596554E+29</v>
      </c>
      <c r="M744" s="4">
        <f t="shared" si="47"/>
        <v>3.8764423750434572E+35</v>
      </c>
    </row>
    <row r="745" spans="1:13" x14ac:dyDescent="0.2">
      <c r="A745" s="3">
        <f>StartYear+743</f>
        <v>2768</v>
      </c>
      <c r="B745" s="4">
        <f>FacultyFTE*HoursPerWeek*WeeksPerYear*RatePerHour*(1+PracticeGrowth)^743</f>
        <v>1.5960323753535461E+21</v>
      </c>
      <c r="C745" s="4">
        <f>StudentsY1*(1+StudentGrowth)^743*CreditsPerStudent*TuitionPerCredit</f>
        <v>9.9752023459596641E+21</v>
      </c>
      <c r="D745" s="4">
        <f>SimRevY1*(1+SimGrowth)^743</f>
        <v>2.8427264925713708E+35</v>
      </c>
      <c r="E745" s="4">
        <f>FacDevRevY1*(1+FacDevGrowth)^743</f>
        <v>1.4213632462856854E+35</v>
      </c>
      <c r="F745" s="4">
        <f t="shared" si="44"/>
        <v>4.2640897388571554E+35</v>
      </c>
      <c r="G745" s="4">
        <f t="shared" si="45"/>
        <v>4.2640897388571717E+35</v>
      </c>
      <c r="H745" s="4">
        <f>SalaryFTECount*SalaryPerFTE*(1+SalaryGrowth)^743</f>
        <v>9.5058376721489408E+17</v>
      </c>
      <c r="I745" s="4">
        <f>SimOpsY1*(1+SimOpsGrowth)^743</f>
        <v>2.0463107300348561E+29</v>
      </c>
      <c r="J745" s="4">
        <f>TrainDevY1*(1+TrainDevGrowth)^743</f>
        <v>1.0231553650174281E+29</v>
      </c>
      <c r="K745" s="4">
        <f>AdminY1*(1+AdminGrowth)^743</f>
        <v>1.268492452104856E+23</v>
      </c>
      <c r="L745" s="4">
        <f t="shared" si="46"/>
        <v>3.0694673635542421E+29</v>
      </c>
      <c r="M745" s="4">
        <f t="shared" si="47"/>
        <v>4.2640866693898081E+35</v>
      </c>
    </row>
    <row r="746" spans="1:13" x14ac:dyDescent="0.2">
      <c r="A746" s="3">
        <f>StartYear+744</f>
        <v>2769</v>
      </c>
      <c r="B746" s="4">
        <f>FacultyFTE*HoursPerWeek*WeeksPerYear*RatePerHour*(1+PracticeGrowth)^744</f>
        <v>1.6758339941212231E+21</v>
      </c>
      <c r="C746" s="4">
        <f>StudentsY1*(1+StudentGrowth)^744*CreditsPerStudent*TuitionPerCredit</f>
        <v>1.0473962463257644E+22</v>
      </c>
      <c r="D746" s="4">
        <f>SimRevY1*(1+SimGrowth)^744</f>
        <v>3.1269991418285084E+35</v>
      </c>
      <c r="E746" s="4">
        <f>FacDevRevY1*(1+FacDevGrowth)^744</f>
        <v>1.5634995709142542E+35</v>
      </c>
      <c r="F746" s="4">
        <f t="shared" si="44"/>
        <v>4.690498712742867E+35</v>
      </c>
      <c r="G746" s="4">
        <f t="shared" si="45"/>
        <v>4.690498712742884E+35</v>
      </c>
      <c r="H746" s="4">
        <f>SalaryFTECount*SalaryPerFTE*(1+SalaryGrowth)^744</f>
        <v>9.8860711790349018E+17</v>
      </c>
      <c r="I746" s="4">
        <f>SimOpsY1*(1+SimOpsGrowth)^744</f>
        <v>2.2100155884376448E+29</v>
      </c>
      <c r="J746" s="4">
        <f>TrainDevY1*(1+TrainDevGrowth)^744</f>
        <v>1.1050077942188224E+29</v>
      </c>
      <c r="K746" s="4">
        <f>AdminY1*(1+AdminGrowth)^744</f>
        <v>1.3446019992311471E+23</v>
      </c>
      <c r="L746" s="4">
        <f t="shared" si="46"/>
        <v>3.3150247272683523E+29</v>
      </c>
      <c r="M746" s="4">
        <f t="shared" si="47"/>
        <v>4.6904953977181567E+35</v>
      </c>
    </row>
    <row r="747" spans="1:13" x14ac:dyDescent="0.2">
      <c r="A747" s="3">
        <f>StartYear+745</f>
        <v>2770</v>
      </c>
      <c r="B747" s="4">
        <f>FacultyFTE*HoursPerWeek*WeeksPerYear*RatePerHour*(1+PracticeGrowth)^745</f>
        <v>1.7596256938272846E+21</v>
      </c>
      <c r="C747" s="4">
        <f>StudentsY1*(1+StudentGrowth)^745*CreditsPerStudent*TuitionPerCredit</f>
        <v>1.0997660586420531E+22</v>
      </c>
      <c r="D747" s="4">
        <f>SimRevY1*(1+SimGrowth)^745</f>
        <v>3.4396990560113592E+35</v>
      </c>
      <c r="E747" s="4">
        <f>FacDevRevY1*(1+FacDevGrowth)^745</f>
        <v>1.7198495280056796E+35</v>
      </c>
      <c r="F747" s="4">
        <f t="shared" si="44"/>
        <v>5.1595485840171487E+35</v>
      </c>
      <c r="G747" s="4">
        <f t="shared" si="45"/>
        <v>5.1595485840171664E+35</v>
      </c>
      <c r="H747" s="4">
        <f>SalaryFTECount*SalaryPerFTE*(1+SalaryGrowth)^745</f>
        <v>1.0281514026196297E+18</v>
      </c>
      <c r="I747" s="4">
        <f>SimOpsY1*(1+SimOpsGrowth)^745</f>
        <v>2.3868168355126565E+29</v>
      </c>
      <c r="J747" s="4">
        <f>TrainDevY1*(1+TrainDevGrowth)^745</f>
        <v>1.1934084177563283E+29</v>
      </c>
      <c r="K747" s="4">
        <f>AdminY1*(1+AdminGrowth)^745</f>
        <v>1.4252781191850158E+23</v>
      </c>
      <c r="L747" s="4">
        <f t="shared" si="46"/>
        <v>3.5802266785573855E+29</v>
      </c>
      <c r="M747" s="4">
        <f t="shared" si="47"/>
        <v>5.1595450037904875E+35</v>
      </c>
    </row>
    <row r="748" spans="1:13" x14ac:dyDescent="0.2">
      <c r="A748" s="3">
        <f>StartYear+746</f>
        <v>2771</v>
      </c>
      <c r="B748" s="4">
        <f>FacultyFTE*HoursPerWeek*WeeksPerYear*RatePerHour*(1+PracticeGrowth)^746</f>
        <v>1.8476069785186489E+21</v>
      </c>
      <c r="C748" s="4">
        <f>StudentsY1*(1+StudentGrowth)^746*CreditsPerStudent*TuitionPerCredit</f>
        <v>1.1547543615741557E+22</v>
      </c>
      <c r="D748" s="4">
        <f>SimRevY1*(1+SimGrowth)^746</f>
        <v>3.783668961612496E+35</v>
      </c>
      <c r="E748" s="4">
        <f>FacDevRevY1*(1+FacDevGrowth)^746</f>
        <v>1.891834480806248E+35</v>
      </c>
      <c r="F748" s="4">
        <f t="shared" si="44"/>
        <v>5.6755034424188594E+35</v>
      </c>
      <c r="G748" s="4">
        <f t="shared" si="45"/>
        <v>5.6755034424188779E+35</v>
      </c>
      <c r="H748" s="4">
        <f>SalaryFTECount*SalaryPerFTE*(1+SalaryGrowth)^746</f>
        <v>1.0692774587244147E+18</v>
      </c>
      <c r="I748" s="4">
        <f>SimOpsY1*(1+SimOpsGrowth)^746</f>
        <v>2.5777621823536687E+29</v>
      </c>
      <c r="J748" s="4">
        <f>TrainDevY1*(1+TrainDevGrowth)^746</f>
        <v>1.2888810911768343E+29</v>
      </c>
      <c r="K748" s="4">
        <f>AdminY1*(1+AdminGrowth)^746</f>
        <v>1.5107948063361169E+23</v>
      </c>
      <c r="L748" s="4">
        <f t="shared" si="46"/>
        <v>3.8666447843360028E+29</v>
      </c>
      <c r="M748" s="4">
        <f t="shared" si="47"/>
        <v>5.6754995757740937E+35</v>
      </c>
    </row>
    <row r="749" spans="1:13" x14ac:dyDescent="0.2">
      <c r="A749" s="3">
        <f>StartYear+747</f>
        <v>2772</v>
      </c>
      <c r="B749" s="4">
        <f>FacultyFTE*HoursPerWeek*WeeksPerYear*RatePerHour*(1+PracticeGrowth)^747</f>
        <v>1.9399873274445814E+21</v>
      </c>
      <c r="C749" s="4">
        <f>StudentsY1*(1+StudentGrowth)^747*CreditsPerStudent*TuitionPerCredit</f>
        <v>1.2124920796528635E+22</v>
      </c>
      <c r="D749" s="4">
        <f>SimRevY1*(1+SimGrowth)^747</f>
        <v>4.1620358577737455E+35</v>
      </c>
      <c r="E749" s="4">
        <f>FacDevRevY1*(1+FacDevGrowth)^747</f>
        <v>2.0810179288868727E+35</v>
      </c>
      <c r="F749" s="4">
        <f t="shared" si="44"/>
        <v>6.2430537866607396E+35</v>
      </c>
      <c r="G749" s="4">
        <f t="shared" si="45"/>
        <v>6.2430537866607588E+35</v>
      </c>
      <c r="H749" s="4">
        <f>SalaryFTECount*SalaryPerFTE*(1+SalaryGrowth)^747</f>
        <v>1.1120485570733914E+18</v>
      </c>
      <c r="I749" s="4">
        <f>SimOpsY1*(1+SimOpsGrowth)^747</f>
        <v>2.7839831569419623E+29</v>
      </c>
      <c r="J749" s="4">
        <f>TrainDevY1*(1+TrainDevGrowth)^747</f>
        <v>1.3919915784709812E+29</v>
      </c>
      <c r="K749" s="4">
        <f>AdminY1*(1+AdminGrowth)^747</f>
        <v>1.6014424947162842E+23</v>
      </c>
      <c r="L749" s="4">
        <f t="shared" si="46"/>
        <v>4.1759763368665589E+29</v>
      </c>
      <c r="M749" s="4">
        <f t="shared" si="47"/>
        <v>6.2430496106844218E+35</v>
      </c>
    </row>
    <row r="750" spans="1:13" x14ac:dyDescent="0.2">
      <c r="A750" s="3">
        <f>StartYear+748</f>
        <v>2773</v>
      </c>
      <c r="B750" s="4">
        <f>FacultyFTE*HoursPerWeek*WeeksPerYear*RatePerHour*(1+PracticeGrowth)^748</f>
        <v>2.0369866938168102E+21</v>
      </c>
      <c r="C750" s="4">
        <f>StudentsY1*(1+StudentGrowth)^748*CreditsPerStudent*TuitionPerCredit</f>
        <v>1.2731166836355064E+22</v>
      </c>
      <c r="D750" s="4">
        <f>SimRevY1*(1+SimGrowth)^748</f>
        <v>4.57823944355112E+35</v>
      </c>
      <c r="E750" s="4">
        <f>FacDevRevY1*(1+FacDevGrowth)^748</f>
        <v>2.28911972177556E+35</v>
      </c>
      <c r="F750" s="4">
        <f t="shared" si="44"/>
        <v>6.8673591653268072E+35</v>
      </c>
      <c r="G750" s="4">
        <f t="shared" si="45"/>
        <v>6.8673591653268279E+35</v>
      </c>
      <c r="H750" s="4">
        <f>SalaryFTECount*SalaryPerFTE*(1+SalaryGrowth)^748</f>
        <v>1.1565304993563272E+18</v>
      </c>
      <c r="I750" s="4">
        <f>SimOpsY1*(1+SimOpsGrowth)^748</f>
        <v>3.0067018094973199E+29</v>
      </c>
      <c r="J750" s="4">
        <f>TrainDevY1*(1+TrainDevGrowth)^748</f>
        <v>1.5033509047486599E+29</v>
      </c>
      <c r="K750" s="4">
        <f>AdminY1*(1+AdminGrowth)^748</f>
        <v>1.6975290443992615E+23</v>
      </c>
      <c r="L750" s="4">
        <f t="shared" si="46"/>
        <v>4.5100544117865892E+29</v>
      </c>
      <c r="M750" s="4">
        <f t="shared" si="47"/>
        <v>6.8673546552724154E+35</v>
      </c>
    </row>
    <row r="751" spans="1:13" x14ac:dyDescent="0.2">
      <c r="A751" s="3">
        <f>StartYear+749</f>
        <v>2774</v>
      </c>
      <c r="B751" s="4">
        <f>FacultyFTE*HoursPerWeek*WeeksPerYear*RatePerHour*(1+PracticeGrowth)^749</f>
        <v>2.1388360285076513E+21</v>
      </c>
      <c r="C751" s="4">
        <f>StudentsY1*(1+StudentGrowth)^749*CreditsPerStudent*TuitionPerCredit</f>
        <v>1.3367725178172821E+22</v>
      </c>
      <c r="D751" s="4">
        <f>SimRevY1*(1+SimGrowth)^749</f>
        <v>5.0360633879062328E+35</v>
      </c>
      <c r="E751" s="4">
        <f>FacDevRevY1*(1+FacDevGrowth)^749</f>
        <v>2.5180316939531164E+35</v>
      </c>
      <c r="F751" s="4">
        <f t="shared" si="44"/>
        <v>7.5540950818594823E+35</v>
      </c>
      <c r="G751" s="4">
        <f t="shared" si="45"/>
        <v>7.554095081859503E+35</v>
      </c>
      <c r="H751" s="4">
        <f>SalaryFTECount*SalaryPerFTE*(1+SalaryGrowth)^749</f>
        <v>1.2027917193305802E+18</v>
      </c>
      <c r="I751" s="4">
        <f>SimOpsY1*(1+SimOpsGrowth)^749</f>
        <v>3.2472379542571051E+29</v>
      </c>
      <c r="J751" s="4">
        <f>TrainDevY1*(1+TrainDevGrowth)^749</f>
        <v>1.6236189771285525E+29</v>
      </c>
      <c r="K751" s="4">
        <f>AdminY1*(1+AdminGrowth)^749</f>
        <v>1.7993807870632172E+23</v>
      </c>
      <c r="L751" s="4">
        <f t="shared" si="46"/>
        <v>4.8708587307784723E+29</v>
      </c>
      <c r="M751" s="4">
        <f t="shared" si="47"/>
        <v>7.5540902110007724E+35</v>
      </c>
    </row>
    <row r="752" spans="1:13" x14ac:dyDescent="0.2">
      <c r="A752" s="3">
        <f>StartYear+750</f>
        <v>2775</v>
      </c>
      <c r="B752" s="4">
        <f>FacultyFTE*HoursPerWeek*WeeksPerYear*RatePerHour*(1+PracticeGrowth)^750</f>
        <v>2.2457778299330332E+21</v>
      </c>
      <c r="C752" s="4">
        <f>StudentsY1*(1+StudentGrowth)^750*CreditsPerStudent*TuitionPerCredit</f>
        <v>1.4036111437081459E+22</v>
      </c>
      <c r="D752" s="4">
        <f>SimRevY1*(1+SimGrowth)^750</f>
        <v>5.5396697266968569E+35</v>
      </c>
      <c r="E752" s="4">
        <f>FacDevRevY1*(1+FacDevGrowth)^750</f>
        <v>2.7698348633484284E+35</v>
      </c>
      <c r="F752" s="4">
        <f t="shared" si="44"/>
        <v>8.3095045900454258E+35</v>
      </c>
      <c r="G752" s="4">
        <f t="shared" si="45"/>
        <v>8.309504590045448E+35</v>
      </c>
      <c r="H752" s="4">
        <f>SalaryFTECount*SalaryPerFTE*(1+SalaryGrowth)^750</f>
        <v>1.2509033881038036E+18</v>
      </c>
      <c r="I752" s="4">
        <f>SimOpsY1*(1+SimOpsGrowth)^750</f>
        <v>3.5070169905976742E+29</v>
      </c>
      <c r="J752" s="4">
        <f>TrainDevY1*(1+TrainDevGrowth)^750</f>
        <v>1.7535084952988371E+29</v>
      </c>
      <c r="K752" s="4">
        <f>AdminY1*(1+AdminGrowth)^750</f>
        <v>1.90734363428701E+23</v>
      </c>
      <c r="L752" s="4">
        <f t="shared" si="46"/>
        <v>5.2605273932526545E+29</v>
      </c>
      <c r="M752" s="4">
        <f t="shared" si="47"/>
        <v>8.3094993295180542E+35</v>
      </c>
    </row>
    <row r="753" spans="1:13" x14ac:dyDescent="0.2">
      <c r="A753" s="3">
        <f>StartYear+751</f>
        <v>2776</v>
      </c>
      <c r="B753" s="4">
        <f>FacultyFTE*HoursPerWeek*WeeksPerYear*RatePerHour*(1+PracticeGrowth)^751</f>
        <v>2.3580667214296855E+21</v>
      </c>
      <c r="C753" s="4">
        <f>StudentsY1*(1+StudentGrowth)^751*CreditsPerStudent*TuitionPerCredit</f>
        <v>1.4737917008935536E+22</v>
      </c>
      <c r="D753" s="4">
        <f>SimRevY1*(1+SimGrowth)^751</f>
        <v>6.0936366993665425E+35</v>
      </c>
      <c r="E753" s="4">
        <f>FacDevRevY1*(1+FacDevGrowth)^751</f>
        <v>3.0468183496832712E+35</v>
      </c>
      <c r="F753" s="4">
        <f t="shared" si="44"/>
        <v>9.1404550490499609E+35</v>
      </c>
      <c r="G753" s="4">
        <f t="shared" si="45"/>
        <v>9.1404550490499845E+35</v>
      </c>
      <c r="H753" s="4">
        <f>SalaryFTECount*SalaryPerFTE*(1+SalaryGrowth)^751</f>
        <v>1.3009395236279557E+18</v>
      </c>
      <c r="I753" s="4">
        <f>SimOpsY1*(1+SimOpsGrowth)^751</f>
        <v>3.7875783498454889E+29</v>
      </c>
      <c r="J753" s="4">
        <f>TrainDevY1*(1+TrainDevGrowth)^751</f>
        <v>1.8937891749227444E+29</v>
      </c>
      <c r="K753" s="4">
        <f>AdminY1*(1+AdminGrowth)^751</f>
        <v>2.0217842523442315E+23</v>
      </c>
      <c r="L753" s="4">
        <f t="shared" si="46"/>
        <v>5.6813695465654954E+29</v>
      </c>
      <c r="M753" s="4">
        <f t="shared" si="47"/>
        <v>9.1404493676804382E+35</v>
      </c>
    </row>
    <row r="754" spans="1:13" x14ac:dyDescent="0.2">
      <c r="A754" s="3">
        <f>StartYear+752</f>
        <v>2777</v>
      </c>
      <c r="B754" s="4">
        <f>FacultyFTE*HoursPerWeek*WeeksPerYear*RatePerHour*(1+PracticeGrowth)^752</f>
        <v>2.4759700575011697E+21</v>
      </c>
      <c r="C754" s="4">
        <f>StudentsY1*(1+StudentGrowth)^752*CreditsPerStudent*TuitionPerCredit</f>
        <v>1.5474812859382311E+22</v>
      </c>
      <c r="D754" s="4">
        <f>SimRevY1*(1+SimGrowth)^752</f>
        <v>6.7030003693031963E+35</v>
      </c>
      <c r="E754" s="4">
        <f>FacDevRevY1*(1+FacDevGrowth)^752</f>
        <v>3.3515001846515982E+35</v>
      </c>
      <c r="F754" s="4">
        <f t="shared" si="44"/>
        <v>1.0054500553954949E+36</v>
      </c>
      <c r="G754" s="4">
        <f t="shared" si="45"/>
        <v>1.0054500553954975E+36</v>
      </c>
      <c r="H754" s="4">
        <f>SalaryFTECount*SalaryPerFTE*(1+SalaryGrowth)^752</f>
        <v>1.3529771045730742E+18</v>
      </c>
      <c r="I754" s="4">
        <f>SimOpsY1*(1+SimOpsGrowth)^752</f>
        <v>4.0905846178331278E+29</v>
      </c>
      <c r="J754" s="4">
        <f>TrainDevY1*(1+TrainDevGrowth)^752</f>
        <v>2.0452923089165639E+29</v>
      </c>
      <c r="K754" s="4">
        <f>AdminY1*(1+AdminGrowth)^752</f>
        <v>2.1430913074848844E+23</v>
      </c>
      <c r="L754" s="4">
        <f t="shared" si="46"/>
        <v>6.1358790698545284E+29</v>
      </c>
      <c r="M754" s="4">
        <f t="shared" si="47"/>
        <v>1.0054494418075905E+36</v>
      </c>
    </row>
    <row r="755" spans="1:13" x14ac:dyDescent="0.2">
      <c r="A755" s="3">
        <f>StartYear+753</f>
        <v>2778</v>
      </c>
      <c r="B755" s="4">
        <f>FacultyFTE*HoursPerWeek*WeeksPerYear*RatePerHour*(1+PracticeGrowth)^753</f>
        <v>2.5997685603762286E+21</v>
      </c>
      <c r="C755" s="4">
        <f>StudentsY1*(1+StudentGrowth)^753*CreditsPerStudent*TuitionPerCredit</f>
        <v>1.6248553502351431E+22</v>
      </c>
      <c r="D755" s="4">
        <f>SimRevY1*(1+SimGrowth)^753</f>
        <v>7.3733004062335175E+35</v>
      </c>
      <c r="E755" s="4">
        <f>FacDevRevY1*(1+FacDevGrowth)^753</f>
        <v>3.6866502031167587E+35</v>
      </c>
      <c r="F755" s="4">
        <f t="shared" si="44"/>
        <v>1.1059950609350439E+36</v>
      </c>
      <c r="G755" s="4">
        <f t="shared" si="45"/>
        <v>1.1059950609350466E+36</v>
      </c>
      <c r="H755" s="4">
        <f>SalaryFTECount*SalaryPerFTE*(1+SalaryGrowth)^753</f>
        <v>1.4070961887559969E+18</v>
      </c>
      <c r="I755" s="4">
        <f>SimOpsY1*(1+SimOpsGrowth)^753</f>
        <v>4.4178313872597776E+29</v>
      </c>
      <c r="J755" s="4">
        <f>TrainDevY1*(1+TrainDevGrowth)^753</f>
        <v>2.2089156936298888E+29</v>
      </c>
      <c r="K755" s="4">
        <f>AdminY1*(1+AdminGrowth)^753</f>
        <v>2.2716767859339778E+23</v>
      </c>
      <c r="L755" s="4">
        <f t="shared" si="46"/>
        <v>6.6267493525805237E+29</v>
      </c>
      <c r="M755" s="4">
        <f t="shared" si="47"/>
        <v>1.1059943982601113E+36</v>
      </c>
    </row>
    <row r="756" spans="1:13" x14ac:dyDescent="0.2">
      <c r="A756" s="3">
        <f>StartYear+754</f>
        <v>2779</v>
      </c>
      <c r="B756" s="4">
        <f>FacultyFTE*HoursPerWeek*WeeksPerYear*RatePerHour*(1+PracticeGrowth)^754</f>
        <v>2.72975698839504E+21</v>
      </c>
      <c r="C756" s="4">
        <f>StudentsY1*(1+StudentGrowth)^754*CreditsPerStudent*TuitionPerCredit</f>
        <v>1.7060981177468999E+22</v>
      </c>
      <c r="D756" s="4">
        <f>SimRevY1*(1+SimGrowth)^754</f>
        <v>8.1106304468568685E+35</v>
      </c>
      <c r="E756" s="4">
        <f>FacDevRevY1*(1+FacDevGrowth)^754</f>
        <v>4.0553152234284342E+35</v>
      </c>
      <c r="F756" s="4">
        <f t="shared" si="44"/>
        <v>1.2165945670285475E+36</v>
      </c>
      <c r="G756" s="4">
        <f t="shared" si="45"/>
        <v>1.2165945670285501E+36</v>
      </c>
      <c r="H756" s="4">
        <f>SalaryFTECount*SalaryPerFTE*(1+SalaryGrowth)^754</f>
        <v>1.4633800363062372E+18</v>
      </c>
      <c r="I756" s="4">
        <f>SimOpsY1*(1+SimOpsGrowth)^754</f>
        <v>4.7712578982405604E+29</v>
      </c>
      <c r="J756" s="4">
        <f>TrainDevY1*(1+TrainDevGrowth)^754</f>
        <v>2.3856289491202802E+29</v>
      </c>
      <c r="K756" s="4">
        <f>AdminY1*(1+AdminGrowth)^754</f>
        <v>2.4079773930900163E+23</v>
      </c>
      <c r="L756" s="4">
        <f t="shared" si="46"/>
        <v>7.1568892553528679E+29</v>
      </c>
      <c r="M756" s="4">
        <f t="shared" si="47"/>
        <v>1.2165938513396246E+36</v>
      </c>
    </row>
    <row r="757" spans="1:13" x14ac:dyDescent="0.2">
      <c r="A757" s="3">
        <f>StartYear+755</f>
        <v>2780</v>
      </c>
      <c r="B757" s="4">
        <f>FacultyFTE*HoursPerWeek*WeeksPerYear*RatePerHour*(1+PracticeGrowth)^755</f>
        <v>2.8662448378147913E+21</v>
      </c>
      <c r="C757" s="4">
        <f>StudentsY1*(1+StudentGrowth)^755*CreditsPerStudent*TuitionPerCredit</f>
        <v>1.7914030236342447E+22</v>
      </c>
      <c r="D757" s="4">
        <f>SimRevY1*(1+SimGrowth)^755</f>
        <v>8.9216934915425555E+35</v>
      </c>
      <c r="E757" s="4">
        <f>FacDevRevY1*(1+FacDevGrowth)^755</f>
        <v>4.4608467457712777E+35</v>
      </c>
      <c r="F757" s="4">
        <f t="shared" si="44"/>
        <v>1.338254023731401E+36</v>
      </c>
      <c r="G757" s="4">
        <f t="shared" si="45"/>
        <v>1.338254023731404E+36</v>
      </c>
      <c r="H757" s="4">
        <f>SalaryFTECount*SalaryPerFTE*(1+SalaryGrowth)^755</f>
        <v>1.5219152377584865E+18</v>
      </c>
      <c r="I757" s="4">
        <f>SimOpsY1*(1+SimOpsGrowth)^755</f>
        <v>5.1529585300998057E+29</v>
      </c>
      <c r="J757" s="4">
        <f>TrainDevY1*(1+TrainDevGrowth)^755</f>
        <v>2.5764792650499028E+29</v>
      </c>
      <c r="K757" s="4">
        <f>AdminY1*(1+AdminGrowth)^755</f>
        <v>2.5524560366754177E+23</v>
      </c>
      <c r="L757" s="4">
        <f t="shared" si="46"/>
        <v>7.7294403476209646E+29</v>
      </c>
      <c r="M757" s="4">
        <f t="shared" si="47"/>
        <v>1.3382532507873693E+36</v>
      </c>
    </row>
    <row r="758" spans="1:13" x14ac:dyDescent="0.2">
      <c r="A758" s="3">
        <f>StartYear+756</f>
        <v>2781</v>
      </c>
      <c r="B758" s="4">
        <f>FacultyFTE*HoursPerWeek*WeeksPerYear*RatePerHour*(1+PracticeGrowth)^756</f>
        <v>3.0095570797055322E+21</v>
      </c>
      <c r="C758" s="4">
        <f>StudentsY1*(1+StudentGrowth)^756*CreditsPerStudent*TuitionPerCredit</f>
        <v>1.8809731748159575E+22</v>
      </c>
      <c r="D758" s="4">
        <f>SimRevY1*(1+SimGrowth)^756</f>
        <v>9.8138628406968139E+35</v>
      </c>
      <c r="E758" s="4">
        <f>FacDevRevY1*(1+FacDevGrowth)^756</f>
        <v>4.906931420348407E+35</v>
      </c>
      <c r="F758" s="4">
        <f t="shared" si="44"/>
        <v>1.4720794261045408E+36</v>
      </c>
      <c r="G758" s="4">
        <f t="shared" si="45"/>
        <v>1.4720794261045438E+36</v>
      </c>
      <c r="H758" s="4">
        <f>SalaryFTECount*SalaryPerFTE*(1+SalaryGrowth)^756</f>
        <v>1.5827918472688259E+18</v>
      </c>
      <c r="I758" s="4">
        <f>SimOpsY1*(1+SimOpsGrowth)^756</f>
        <v>5.5651952125077904E+29</v>
      </c>
      <c r="J758" s="4">
        <f>TrainDevY1*(1+TrainDevGrowth)^756</f>
        <v>2.7825976062538952E+29</v>
      </c>
      <c r="K758" s="4">
        <f>AdminY1*(1+AdminGrowth)^756</f>
        <v>2.7056033988759428E+23</v>
      </c>
      <c r="L758" s="4">
        <f t="shared" si="46"/>
        <v>8.347795524380913E+29</v>
      </c>
      <c r="M758" s="4">
        <f t="shared" si="47"/>
        <v>1.4720785913249915E+36</v>
      </c>
    </row>
    <row r="759" spans="1:13" x14ac:dyDescent="0.2">
      <c r="A759" s="3">
        <f>StartYear+757</f>
        <v>2782</v>
      </c>
      <c r="B759" s="4">
        <f>FacultyFTE*HoursPerWeek*WeeksPerYear*RatePerHour*(1+PracticeGrowth)^757</f>
        <v>3.1600349336908076E+21</v>
      </c>
      <c r="C759" s="4">
        <f>StudentsY1*(1+StudentGrowth)^757*CreditsPerStudent*TuitionPerCredit</f>
        <v>1.9750218335567546E+22</v>
      </c>
      <c r="D759" s="4">
        <f>SimRevY1*(1+SimGrowth)^757</f>
        <v>1.0795249124766496E+36</v>
      </c>
      <c r="E759" s="4">
        <f>FacDevRevY1*(1+FacDevGrowth)^757</f>
        <v>5.397624562383248E+35</v>
      </c>
      <c r="F759" s="4">
        <f t="shared" si="44"/>
        <v>1.6192873687149942E+36</v>
      </c>
      <c r="G759" s="4">
        <f t="shared" si="45"/>
        <v>1.6192873687149975E+36</v>
      </c>
      <c r="H759" s="4">
        <f>SalaryFTECount*SalaryPerFTE*(1+SalaryGrowth)^757</f>
        <v>1.6461035211595796E+18</v>
      </c>
      <c r="I759" s="4">
        <f>SimOpsY1*(1+SimOpsGrowth)^757</f>
        <v>6.0104108295084132E+29</v>
      </c>
      <c r="J759" s="4">
        <f>TrainDevY1*(1+TrainDevGrowth)^757</f>
        <v>3.0052054147542066E+29</v>
      </c>
      <c r="K759" s="4">
        <f>AdminY1*(1+AdminGrowth)^757</f>
        <v>2.8679396028085006E+23</v>
      </c>
      <c r="L759" s="4">
        <f t="shared" si="46"/>
        <v>9.0156191122186834E+29</v>
      </c>
      <c r="M759" s="4">
        <f t="shared" si="47"/>
        <v>1.6192864671530863E+36</v>
      </c>
    </row>
    <row r="760" spans="1:13" x14ac:dyDescent="0.2">
      <c r="A760" s="3">
        <f>StartYear+758</f>
        <v>2783</v>
      </c>
      <c r="B760" s="4">
        <f>FacultyFTE*HoursPerWeek*WeeksPerYear*RatePerHour*(1+PracticeGrowth)^758</f>
        <v>3.3180366803753474E+21</v>
      </c>
      <c r="C760" s="4">
        <f>StudentsY1*(1+StudentGrowth)^758*CreditsPerStudent*TuitionPerCredit</f>
        <v>2.0737729252345923E+22</v>
      </c>
      <c r="D760" s="4">
        <f>SimRevY1*(1+SimGrowth)^758</f>
        <v>1.1874774037243146E+36</v>
      </c>
      <c r="E760" s="4">
        <f>FacDevRevY1*(1+FacDevGrowth)^758</f>
        <v>5.937387018621573E+35</v>
      </c>
      <c r="F760" s="4">
        <f t="shared" si="44"/>
        <v>1.7812161055864928E+36</v>
      </c>
      <c r="G760" s="4">
        <f t="shared" si="45"/>
        <v>1.781216105586496E+36</v>
      </c>
      <c r="H760" s="4">
        <f>SalaryFTECount*SalaryPerFTE*(1+SalaryGrowth)^758</f>
        <v>1.7119476620059625E+18</v>
      </c>
      <c r="I760" s="4">
        <f>SimOpsY1*(1+SimOpsGrowth)^758</f>
        <v>6.4912436958690873E+29</v>
      </c>
      <c r="J760" s="4">
        <f>TrainDevY1*(1+TrainDevGrowth)^758</f>
        <v>3.2456218479345436E+29</v>
      </c>
      <c r="K760" s="4">
        <f>AdminY1*(1+AdminGrowth)^758</f>
        <v>3.0400159789770104E+23</v>
      </c>
      <c r="L760" s="4">
        <f t="shared" si="46"/>
        <v>9.7368685838367292E+29</v>
      </c>
      <c r="M760" s="4">
        <f t="shared" si="47"/>
        <v>1.7812151318996378E+36</v>
      </c>
    </row>
    <row r="761" spans="1:13" x14ac:dyDescent="0.2">
      <c r="A761" s="3">
        <f>StartYear+759</f>
        <v>2784</v>
      </c>
      <c r="B761" s="4">
        <f>FacultyFTE*HoursPerWeek*WeeksPerYear*RatePerHour*(1+PracticeGrowth)^759</f>
        <v>3.4839385143941157E+21</v>
      </c>
      <c r="C761" s="4">
        <f>StudentsY1*(1+StudentGrowth)^759*CreditsPerStudent*TuitionPerCredit</f>
        <v>2.1774615714963227E+22</v>
      </c>
      <c r="D761" s="4">
        <f>SimRevY1*(1+SimGrowth)^759</f>
        <v>1.3062251440967464E+36</v>
      </c>
      <c r="E761" s="4">
        <f>FacDevRevY1*(1+FacDevGrowth)^759</f>
        <v>6.531125720483732E+35</v>
      </c>
      <c r="F761" s="4">
        <f t="shared" si="44"/>
        <v>1.9593377161451416E+36</v>
      </c>
      <c r="G761" s="4">
        <f t="shared" si="45"/>
        <v>1.9593377161451451E+36</v>
      </c>
      <c r="H761" s="4">
        <f>SalaryFTECount*SalaryPerFTE*(1+SalaryGrowth)^759</f>
        <v>1.7804255684862008E+18</v>
      </c>
      <c r="I761" s="4">
        <f>SimOpsY1*(1+SimOpsGrowth)^759</f>
        <v>7.0105431915386142E+29</v>
      </c>
      <c r="J761" s="4">
        <f>TrainDevY1*(1+TrainDevGrowth)^759</f>
        <v>3.5052715957693071E+29</v>
      </c>
      <c r="K761" s="4">
        <f>AdminY1*(1+AdminGrowth)^759</f>
        <v>3.2224169377156316E+23</v>
      </c>
      <c r="L761" s="4">
        <f t="shared" si="46"/>
        <v>1.0515818009742665E+30</v>
      </c>
      <c r="M761" s="4">
        <f t="shared" si="47"/>
        <v>1.959336664563344E+36</v>
      </c>
    </row>
    <row r="762" spans="1:13" x14ac:dyDescent="0.2">
      <c r="A762" s="3">
        <f>StartYear+760</f>
        <v>2785</v>
      </c>
      <c r="B762" s="4">
        <f>FacultyFTE*HoursPerWeek*WeeksPerYear*RatePerHour*(1+PracticeGrowth)^760</f>
        <v>3.6581354401138213E+21</v>
      </c>
      <c r="C762" s="4">
        <f>StudentsY1*(1+StudentGrowth)^760*CreditsPerStudent*TuitionPerCredit</f>
        <v>2.2863346500711383E+22</v>
      </c>
      <c r="D762" s="4">
        <f>SimRevY1*(1+SimGrowth)^760</f>
        <v>1.4368476585064204E+36</v>
      </c>
      <c r="E762" s="4">
        <f>FacDevRevY1*(1+FacDevGrowth)^760</f>
        <v>7.1842382925321021E+35</v>
      </c>
      <c r="F762" s="4">
        <f t="shared" si="44"/>
        <v>2.1552714877596535E+36</v>
      </c>
      <c r="G762" s="4">
        <f t="shared" si="45"/>
        <v>2.155271487759657E+36</v>
      </c>
      <c r="H762" s="4">
        <f>SalaryFTECount*SalaryPerFTE*(1+SalaryGrowth)^760</f>
        <v>1.8516425912256489E+18</v>
      </c>
      <c r="I762" s="4">
        <f>SimOpsY1*(1+SimOpsGrowth)^760</f>
        <v>7.5713866468617044E+29</v>
      </c>
      <c r="J762" s="4">
        <f>TrainDevY1*(1+TrainDevGrowth)^760</f>
        <v>3.7856933234308522E+29</v>
      </c>
      <c r="K762" s="4">
        <f>AdminY1*(1+AdminGrowth)^760</f>
        <v>3.4157619539785686E+23</v>
      </c>
      <c r="L762" s="4">
        <f t="shared" si="46"/>
        <v>1.1357083386073027E+30</v>
      </c>
      <c r="M762" s="4">
        <f t="shared" si="47"/>
        <v>2.1552703520513185E+36</v>
      </c>
    </row>
    <row r="763" spans="1:13" x14ac:dyDescent="0.2">
      <c r="A763" s="3">
        <f>StartYear+761</f>
        <v>2786</v>
      </c>
      <c r="B763" s="4">
        <f>FacultyFTE*HoursPerWeek*WeeksPerYear*RatePerHour*(1+PracticeGrowth)^761</f>
        <v>3.8410422121195126E+21</v>
      </c>
      <c r="C763" s="4">
        <f>StudentsY1*(1+StudentGrowth)^761*CreditsPerStudent*TuitionPerCredit</f>
        <v>2.4006513825746954E+22</v>
      </c>
      <c r="D763" s="4">
        <f>SimRevY1*(1+SimGrowth)^761</f>
        <v>1.5805324243570632E+36</v>
      </c>
      <c r="E763" s="4">
        <f>FacDevRevY1*(1+FacDevGrowth)^761</f>
        <v>7.902662121785316E+35</v>
      </c>
      <c r="F763" s="4">
        <f t="shared" si="44"/>
        <v>2.3707986365356188E+36</v>
      </c>
      <c r="G763" s="4">
        <f t="shared" si="45"/>
        <v>2.3707986365356227E+36</v>
      </c>
      <c r="H763" s="4">
        <f>SalaryFTECount*SalaryPerFTE*(1+SalaryGrowth)^761</f>
        <v>1.925708294874676E+18</v>
      </c>
      <c r="I763" s="4">
        <f>SimOpsY1*(1+SimOpsGrowth)^761</f>
        <v>8.1770975786106414E+29</v>
      </c>
      <c r="J763" s="4">
        <f>TrainDevY1*(1+TrainDevGrowth)^761</f>
        <v>4.0885487893053207E+29</v>
      </c>
      <c r="K763" s="4">
        <f>AdminY1*(1+AdminGrowth)^761</f>
        <v>3.6207076712172833E+23</v>
      </c>
      <c r="L763" s="4">
        <f t="shared" si="46"/>
        <v>1.226564998864289E+30</v>
      </c>
      <c r="M763" s="4">
        <f t="shared" si="47"/>
        <v>2.3707974099706238E+36</v>
      </c>
    </row>
    <row r="764" spans="1:13" x14ac:dyDescent="0.2">
      <c r="A764" s="3">
        <f>StartYear+762</f>
        <v>2787</v>
      </c>
      <c r="B764" s="4">
        <f>FacultyFTE*HoursPerWeek*WeeksPerYear*RatePerHour*(1+PracticeGrowth)^762</f>
        <v>4.0330943227254884E+21</v>
      </c>
      <c r="C764" s="4">
        <f>StudentsY1*(1+StudentGrowth)^762*CreditsPerStudent*TuitionPerCredit</f>
        <v>2.5206839517034305E+22</v>
      </c>
      <c r="D764" s="4">
        <f>SimRevY1*(1+SimGrowth)^762</f>
        <v>1.7385856667927695E+36</v>
      </c>
      <c r="E764" s="4">
        <f>FacDevRevY1*(1+FacDevGrowth)^762</f>
        <v>8.6929283339638474E+35</v>
      </c>
      <c r="F764" s="4">
        <f t="shared" si="44"/>
        <v>2.6078785001891793E+36</v>
      </c>
      <c r="G764" s="4">
        <f t="shared" si="45"/>
        <v>2.6078785001891834E+36</v>
      </c>
      <c r="H764" s="4">
        <f>SalaryFTECount*SalaryPerFTE*(1+SalaryGrowth)^762</f>
        <v>2.0027366266696622E+18</v>
      </c>
      <c r="I764" s="4">
        <f>SimOpsY1*(1+SimOpsGrowth)^762</f>
        <v>8.8312653848994917E+29</v>
      </c>
      <c r="J764" s="4">
        <f>TrainDevY1*(1+TrainDevGrowth)^762</f>
        <v>4.4156326924497459E+29</v>
      </c>
      <c r="K764" s="4">
        <f>AdminY1*(1+AdminGrowth)^762</f>
        <v>3.8379501314903196E+23</v>
      </c>
      <c r="L764" s="4">
        <f t="shared" si="46"/>
        <v>1.3246901915319395E+30</v>
      </c>
      <c r="M764" s="4">
        <f t="shared" si="47"/>
        <v>2.6078771754989918E+36</v>
      </c>
    </row>
    <row r="765" spans="1:13" x14ac:dyDescent="0.2">
      <c r="A765" s="3">
        <f>StartYear+763</f>
        <v>2788</v>
      </c>
      <c r="B765" s="4">
        <f>FacultyFTE*HoursPerWeek*WeeksPerYear*RatePerHour*(1+PracticeGrowth)^763</f>
        <v>4.234749038861763E+21</v>
      </c>
      <c r="C765" s="4">
        <f>StudentsY1*(1+StudentGrowth)^763*CreditsPerStudent*TuitionPerCredit</f>
        <v>2.6467181492886022E+22</v>
      </c>
      <c r="D765" s="4">
        <f>SimRevY1*(1+SimGrowth)^763</f>
        <v>1.9124442334720467E+36</v>
      </c>
      <c r="E765" s="4">
        <f>FacDevRevY1*(1+FacDevGrowth)^763</f>
        <v>9.5622211673602336E+35</v>
      </c>
      <c r="F765" s="4">
        <f t="shared" si="44"/>
        <v>2.8686663502080967E+36</v>
      </c>
      <c r="G765" s="4">
        <f t="shared" si="45"/>
        <v>2.8686663502081008E+36</v>
      </c>
      <c r="H765" s="4">
        <f>SalaryFTECount*SalaryPerFTE*(1+SalaryGrowth)^763</f>
        <v>2.0828460917364488E+18</v>
      </c>
      <c r="I765" s="4">
        <f>SimOpsY1*(1+SimOpsGrowth)^763</f>
        <v>9.5377666156914514E+29</v>
      </c>
      <c r="J765" s="4">
        <f>TrainDevY1*(1+TrainDevGrowth)^763</f>
        <v>4.7688833078457257E+29</v>
      </c>
      <c r="K765" s="4">
        <f>AdminY1*(1+AdminGrowth)^763</f>
        <v>4.0682271393797399E+23</v>
      </c>
      <c r="L765" s="4">
        <f t="shared" si="46"/>
        <v>1.4306653991785147E+30</v>
      </c>
      <c r="M765" s="4">
        <f t="shared" si="47"/>
        <v>2.8686649195427017E+36</v>
      </c>
    </row>
    <row r="766" spans="1:13" x14ac:dyDescent="0.2">
      <c r="A766" s="3">
        <f>StartYear+764</f>
        <v>2789</v>
      </c>
      <c r="B766" s="4">
        <f>FacultyFTE*HoursPerWeek*WeeksPerYear*RatePerHour*(1+PracticeGrowth)^764</f>
        <v>4.4464864908048508E+21</v>
      </c>
      <c r="C766" s="4">
        <f>StudentsY1*(1+StudentGrowth)^764*CreditsPerStudent*TuitionPerCredit</f>
        <v>2.7790540567530319E+22</v>
      </c>
      <c r="D766" s="4">
        <f>SimRevY1*(1+SimGrowth)^764</f>
        <v>2.1036886568192512E+36</v>
      </c>
      <c r="E766" s="4">
        <f>FacDevRevY1*(1+FacDevGrowth)^764</f>
        <v>1.0518443284096256E+36</v>
      </c>
      <c r="F766" s="4">
        <f t="shared" si="44"/>
        <v>3.1555329852289044E+36</v>
      </c>
      <c r="G766" s="4">
        <f t="shared" si="45"/>
        <v>3.1555329852289092E+36</v>
      </c>
      <c r="H766" s="4">
        <f>SalaryFTECount*SalaryPerFTE*(1+SalaryGrowth)^764</f>
        <v>2.1661599354059072E+18</v>
      </c>
      <c r="I766" s="4">
        <f>SimOpsY1*(1+SimOpsGrowth)^764</f>
        <v>1.0300787944946768E+30</v>
      </c>
      <c r="J766" s="4">
        <f>TrainDevY1*(1+TrainDevGrowth)^764</f>
        <v>5.1503939724733841E+29</v>
      </c>
      <c r="K766" s="4">
        <f>AdminY1*(1+AdminGrowth)^764</f>
        <v>4.312320767742524E+23</v>
      </c>
      <c r="L766" s="4">
        <f t="shared" si="46"/>
        <v>1.5451186229762581E+30</v>
      </c>
      <c r="M766" s="4">
        <f t="shared" si="47"/>
        <v>3.1555314401102863E+36</v>
      </c>
    </row>
    <row r="767" spans="1:13" x14ac:dyDescent="0.2">
      <c r="A767" s="3">
        <f>StartYear+765</f>
        <v>2790</v>
      </c>
      <c r="B767" s="4">
        <f>FacultyFTE*HoursPerWeek*WeeksPerYear*RatePerHour*(1+PracticeGrowth)^765</f>
        <v>4.6688108153450943E+21</v>
      </c>
      <c r="C767" s="4">
        <f>StudentsY1*(1+StudentGrowth)^765*CreditsPerStudent*TuitionPerCredit</f>
        <v>2.9180067595906837E+22</v>
      </c>
      <c r="D767" s="4">
        <f>SimRevY1*(1+SimGrowth)^765</f>
        <v>2.3140575225011766E+36</v>
      </c>
      <c r="E767" s="4">
        <f>FacDevRevY1*(1+FacDevGrowth)^765</f>
        <v>1.1570287612505883E+36</v>
      </c>
      <c r="F767" s="4">
        <f t="shared" si="44"/>
        <v>3.4710862837517943E+36</v>
      </c>
      <c r="G767" s="4">
        <f t="shared" si="45"/>
        <v>3.4710862837517991E+36</v>
      </c>
      <c r="H767" s="4">
        <f>SalaryFTECount*SalaryPerFTE*(1+SalaryGrowth)^765</f>
        <v>2.2528063328221435E+18</v>
      </c>
      <c r="I767" s="4">
        <f>SimOpsY1*(1+SimOpsGrowth)^765</f>
        <v>1.112485098054251E+30</v>
      </c>
      <c r="J767" s="4">
        <f>TrainDevY1*(1+TrainDevGrowth)^765</f>
        <v>5.5624254902712549E+29</v>
      </c>
      <c r="K767" s="4">
        <f>AdminY1*(1+AdminGrowth)^765</f>
        <v>4.5710600138070772E+23</v>
      </c>
      <c r="L767" s="4">
        <f t="shared" si="46"/>
        <v>1.6687281041896306E+30</v>
      </c>
      <c r="M767" s="4">
        <f t="shared" si="47"/>
        <v>3.4710846150236946E+36</v>
      </c>
    </row>
    <row r="768" spans="1:13" x14ac:dyDescent="0.2">
      <c r="A768" s="3">
        <f>StartYear+766</f>
        <v>2791</v>
      </c>
      <c r="B768" s="4">
        <f>FacultyFTE*HoursPerWeek*WeeksPerYear*RatePerHour*(1+PracticeGrowth)^766</f>
        <v>4.9022513561123464E+21</v>
      </c>
      <c r="C768" s="4">
        <f>StudentsY1*(1+StudentGrowth)^766*CreditsPerStudent*TuitionPerCredit</f>
        <v>3.0639070975702164E+22</v>
      </c>
      <c r="D768" s="4">
        <f>SimRevY1*(1+SimGrowth)^766</f>
        <v>2.545463274751295E+36</v>
      </c>
      <c r="E768" s="4">
        <f>FacDevRevY1*(1+FacDevGrowth)^766</f>
        <v>1.2727316373756475E+36</v>
      </c>
      <c r="F768" s="4">
        <f t="shared" si="44"/>
        <v>3.8181949121269733E+36</v>
      </c>
      <c r="G768" s="4">
        <f t="shared" si="45"/>
        <v>3.818194912126978E+36</v>
      </c>
      <c r="H768" s="4">
        <f>SalaryFTECount*SalaryPerFTE*(1+SalaryGrowth)^766</f>
        <v>2.3429185861350287E+18</v>
      </c>
      <c r="I768" s="4">
        <f>SimOpsY1*(1+SimOpsGrowth)^766</f>
        <v>1.2014839058985913E+30</v>
      </c>
      <c r="J768" s="4">
        <f>TrainDevY1*(1+TrainDevGrowth)^766</f>
        <v>6.0074195294929563E+29</v>
      </c>
      <c r="K768" s="4">
        <f>AdminY1*(1+AdminGrowth)^766</f>
        <v>4.8453236146355015E+23</v>
      </c>
      <c r="L768" s="4">
        <f t="shared" si="46"/>
        <v>1.8022263433825911E+30</v>
      </c>
      <c r="M768" s="4">
        <f t="shared" si="47"/>
        <v>3.8181931099006344E+36</v>
      </c>
    </row>
    <row r="769" spans="1:13" x14ac:dyDescent="0.2">
      <c r="A769" s="3">
        <f>StartYear+767</f>
        <v>2792</v>
      </c>
      <c r="B769" s="4">
        <f>FacultyFTE*HoursPerWeek*WeeksPerYear*RatePerHour*(1+PracticeGrowth)^767</f>
        <v>5.1473639239179661E+21</v>
      </c>
      <c r="C769" s="4">
        <f>StudentsY1*(1+StudentGrowth)^767*CreditsPerStudent*TuitionPerCredit</f>
        <v>3.217102452448729E+22</v>
      </c>
      <c r="D769" s="4">
        <f>SimRevY1*(1+SimGrowth)^767</f>
        <v>2.8000096022264239E+36</v>
      </c>
      <c r="E769" s="4">
        <f>FacDevRevY1*(1+FacDevGrowth)^767</f>
        <v>1.400004801113212E+36</v>
      </c>
      <c r="F769" s="4">
        <f t="shared" si="44"/>
        <v>4.2000144033396677E+36</v>
      </c>
      <c r="G769" s="4">
        <f t="shared" si="45"/>
        <v>4.2000144033396731E+36</v>
      </c>
      <c r="H769" s="4">
        <f>SalaryFTECount*SalaryPerFTE*(1+SalaryGrowth)^767</f>
        <v>2.4366353295804303E+18</v>
      </c>
      <c r="I769" s="4">
        <f>SimOpsY1*(1+SimOpsGrowth)^767</f>
        <v>1.297602618370479E+30</v>
      </c>
      <c r="J769" s="4">
        <f>TrainDevY1*(1+TrainDevGrowth)^767</f>
        <v>6.4880130918523951E+29</v>
      </c>
      <c r="K769" s="4">
        <f>AdminY1*(1+AdminGrowth)^767</f>
        <v>5.1360430315136328E+23</v>
      </c>
      <c r="L769" s="4">
        <f t="shared" si="46"/>
        <v>1.9464044411624585E+30</v>
      </c>
      <c r="M769" s="4">
        <f t="shared" si="47"/>
        <v>4.2000124569352317E+36</v>
      </c>
    </row>
    <row r="770" spans="1:13" x14ac:dyDescent="0.2">
      <c r="A770" s="3">
        <f>StartYear+768</f>
        <v>2793</v>
      </c>
      <c r="B770" s="4">
        <f>FacultyFTE*HoursPerWeek*WeeksPerYear*RatePerHour*(1+PracticeGrowth)^768</f>
        <v>5.4047321201138645E+21</v>
      </c>
      <c r="C770" s="4">
        <f>StudentsY1*(1+StudentGrowth)^768*CreditsPerStudent*TuitionPerCredit</f>
        <v>3.377957575071165E+22</v>
      </c>
      <c r="D770" s="4">
        <f>SimRevY1*(1+SimGrowth)^768</f>
        <v>3.0800105624490664E+36</v>
      </c>
      <c r="E770" s="4">
        <f>FacDevRevY1*(1+FacDevGrowth)^768</f>
        <v>1.5400052812245332E+36</v>
      </c>
      <c r="F770" s="4">
        <f t="shared" ref="F770:F833" si="48">C770+D770+E770</f>
        <v>4.6200158436736333E+36</v>
      </c>
      <c r="G770" s="4">
        <f t="shared" ref="G770:G833" si="49">B770+F770</f>
        <v>4.6200158436736386E+36</v>
      </c>
      <c r="H770" s="4">
        <f>SalaryFTECount*SalaryPerFTE*(1+SalaryGrowth)^768</f>
        <v>2.534100742763648E+18</v>
      </c>
      <c r="I770" s="4">
        <f>SimOpsY1*(1+SimOpsGrowth)^768</f>
        <v>1.4014108278401171E+30</v>
      </c>
      <c r="J770" s="4">
        <f>TrainDevY1*(1+TrainDevGrowth)^768</f>
        <v>7.0070541392005857E+29</v>
      </c>
      <c r="K770" s="4">
        <f>AdminY1*(1+AdminGrowth)^768</f>
        <v>5.4442056134044489E+23</v>
      </c>
      <c r="L770" s="4">
        <f t="shared" ref="L770:L833" si="50">SUM(H770:K770)</f>
        <v>2.1021167861832711E+30</v>
      </c>
      <c r="M770" s="4">
        <f t="shared" ref="M770:M833" si="51">G770-L770</f>
        <v>4.6200137415568523E+36</v>
      </c>
    </row>
    <row r="771" spans="1:13" x14ac:dyDescent="0.2">
      <c r="A771" s="3">
        <f>StartYear+769</f>
        <v>2794</v>
      </c>
      <c r="B771" s="4">
        <f>FacultyFTE*HoursPerWeek*WeeksPerYear*RatePerHour*(1+PracticeGrowth)^769</f>
        <v>5.6749687261195582E+21</v>
      </c>
      <c r="C771" s="4">
        <f>StudentsY1*(1+StudentGrowth)^769*CreditsPerStudent*TuitionPerCredit</f>
        <v>3.5468554538247231E+22</v>
      </c>
      <c r="D771" s="4">
        <f>SimRevY1*(1+SimGrowth)^769</f>
        <v>3.3880116186939733E+36</v>
      </c>
      <c r="E771" s="4">
        <f>FacDevRevY1*(1+FacDevGrowth)^769</f>
        <v>1.6940058093469867E+36</v>
      </c>
      <c r="F771" s="4">
        <f t="shared" si="48"/>
        <v>5.0820174280409954E+36</v>
      </c>
      <c r="G771" s="4">
        <f t="shared" si="49"/>
        <v>5.0820174280410013E+36</v>
      </c>
      <c r="H771" s="4">
        <f>SalaryFTECount*SalaryPerFTE*(1+SalaryGrowth)^769</f>
        <v>2.6354647724741939E+18</v>
      </c>
      <c r="I771" s="4">
        <f>SimOpsY1*(1+SimOpsGrowth)^769</f>
        <v>1.5135236940673267E+30</v>
      </c>
      <c r="J771" s="4">
        <f>TrainDevY1*(1+TrainDevGrowth)^769</f>
        <v>7.5676184703366333E+29</v>
      </c>
      <c r="K771" s="4">
        <f>AdminY1*(1+AdminGrowth)^769</f>
        <v>5.7708579502087161E+23</v>
      </c>
      <c r="L771" s="4">
        <f t="shared" si="50"/>
        <v>2.2702861181894205E+30</v>
      </c>
      <c r="M771" s="4">
        <f t="shared" si="51"/>
        <v>5.0820151577548828E+36</v>
      </c>
    </row>
    <row r="772" spans="1:13" x14ac:dyDescent="0.2">
      <c r="A772" s="3">
        <f>StartYear+770</f>
        <v>2795</v>
      </c>
      <c r="B772" s="4">
        <f>FacultyFTE*HoursPerWeek*WeeksPerYear*RatePerHour*(1+PracticeGrowth)^770</f>
        <v>5.9587171624255362E+21</v>
      </c>
      <c r="C772" s="4">
        <f>StudentsY1*(1+StudentGrowth)^770*CreditsPerStudent*TuitionPerCredit</f>
        <v>3.7241982265159601E+22</v>
      </c>
      <c r="D772" s="4">
        <f>SimRevY1*(1+SimGrowth)^770</f>
        <v>3.7268127805633707E+36</v>
      </c>
      <c r="E772" s="4">
        <f>FacDevRevY1*(1+FacDevGrowth)^770</f>
        <v>1.8634063902816854E+36</v>
      </c>
      <c r="F772" s="4">
        <f t="shared" si="48"/>
        <v>5.5902191708450927E+36</v>
      </c>
      <c r="G772" s="4">
        <f t="shared" si="49"/>
        <v>5.5902191708450986E+36</v>
      </c>
      <c r="H772" s="4">
        <f>SalaryFTECount*SalaryPerFTE*(1+SalaryGrowth)^770</f>
        <v>2.740883363373162E+18</v>
      </c>
      <c r="I772" s="4">
        <f>SimOpsY1*(1+SimOpsGrowth)^770</f>
        <v>1.6346055895927127E+30</v>
      </c>
      <c r="J772" s="4">
        <f>TrainDevY1*(1+TrainDevGrowth)^770</f>
        <v>8.1730279479635633E+29</v>
      </c>
      <c r="K772" s="4">
        <f>AdminY1*(1+AdminGrowth)^770</f>
        <v>6.1171094272212396E+23</v>
      </c>
      <c r="L772" s="4">
        <f t="shared" si="50"/>
        <v>2.4519089961027528E+30</v>
      </c>
      <c r="M772" s="4">
        <f t="shared" si="51"/>
        <v>5.590216718936103E+36</v>
      </c>
    </row>
    <row r="773" spans="1:13" x14ac:dyDescent="0.2">
      <c r="A773" s="3">
        <f>StartYear+771</f>
        <v>2796</v>
      </c>
      <c r="B773" s="4">
        <f>FacultyFTE*HoursPerWeek*WeeksPerYear*RatePerHour*(1+PracticeGrowth)^771</f>
        <v>6.2566530205468129E+21</v>
      </c>
      <c r="C773" s="4">
        <f>StudentsY1*(1+StudentGrowth)^771*CreditsPerStudent*TuitionPerCredit</f>
        <v>3.9104081378417576E+22</v>
      </c>
      <c r="D773" s="4">
        <f>SimRevY1*(1+SimGrowth)^771</f>
        <v>4.0994940586197077E+36</v>
      </c>
      <c r="E773" s="4">
        <f>FacDevRevY1*(1+FacDevGrowth)^771</f>
        <v>2.0497470293098539E+36</v>
      </c>
      <c r="F773" s="4">
        <f t="shared" si="48"/>
        <v>6.1492410879296008E+36</v>
      </c>
      <c r="G773" s="4">
        <f t="shared" si="49"/>
        <v>6.1492410879296067E+36</v>
      </c>
      <c r="H773" s="4">
        <f>SalaryFTECount*SalaryPerFTE*(1+SalaryGrowth)^771</f>
        <v>2.8505186979080883E+18</v>
      </c>
      <c r="I773" s="4">
        <f>SimOpsY1*(1+SimOpsGrowth)^771</f>
        <v>1.7653740367601299E+30</v>
      </c>
      <c r="J773" s="4">
        <f>TrainDevY1*(1+TrainDevGrowth)^771</f>
        <v>8.8268701838006497E+29</v>
      </c>
      <c r="K773" s="4">
        <f>AdminY1*(1+AdminGrowth)^771</f>
        <v>6.4841359928545148E+23</v>
      </c>
      <c r="L773" s="4">
        <f t="shared" si="50"/>
        <v>2.6480617035566445E+30</v>
      </c>
      <c r="M773" s="4">
        <f t="shared" si="51"/>
        <v>6.1492384398679035E+36</v>
      </c>
    </row>
    <row r="774" spans="1:13" x14ac:dyDescent="0.2">
      <c r="A774" s="3">
        <f>StartYear+772</f>
        <v>2797</v>
      </c>
      <c r="B774" s="4">
        <f>FacultyFTE*HoursPerWeek*WeeksPerYear*RatePerHour*(1+PracticeGrowth)^772</f>
        <v>6.5694856715741524E+21</v>
      </c>
      <c r="C774" s="4">
        <f>StudentsY1*(1+StudentGrowth)^772*CreditsPerStudent*TuitionPerCredit</f>
        <v>4.1059285447338449E+22</v>
      </c>
      <c r="D774" s="4">
        <f>SimRevY1*(1+SimGrowth)^772</f>
        <v>4.5094434644816797E+36</v>
      </c>
      <c r="E774" s="4">
        <f>FacDevRevY1*(1+FacDevGrowth)^772</f>
        <v>2.2547217322408399E+36</v>
      </c>
      <c r="F774" s="4">
        <f t="shared" si="48"/>
        <v>6.7641651967225609E+36</v>
      </c>
      <c r="G774" s="4">
        <f t="shared" si="49"/>
        <v>6.764165196722568E+36</v>
      </c>
      <c r="H774" s="4">
        <f>SalaryFTECount*SalaryPerFTE*(1+SalaryGrowth)^772</f>
        <v>2.9645394458244127E+18</v>
      </c>
      <c r="I774" s="4">
        <f>SimOpsY1*(1+SimOpsGrowth)^772</f>
        <v>1.9066039597009404E+30</v>
      </c>
      <c r="J774" s="4">
        <f>TrainDevY1*(1+TrainDevGrowth)^772</f>
        <v>9.533019798504702E+29</v>
      </c>
      <c r="K774" s="4">
        <f>AdminY1*(1+AdminGrowth)^772</f>
        <v>6.8731841524257862E+23</v>
      </c>
      <c r="L774" s="4">
        <f t="shared" si="50"/>
        <v>2.8599066268727908E+30</v>
      </c>
      <c r="M774" s="4">
        <f t="shared" si="51"/>
        <v>6.7641623368159411E+36</v>
      </c>
    </row>
    <row r="775" spans="1:13" x14ac:dyDescent="0.2">
      <c r="A775" s="3">
        <f>StartYear+773</f>
        <v>2798</v>
      </c>
      <c r="B775" s="4">
        <f>FacultyFTE*HoursPerWeek*WeeksPerYear*RatePerHour*(1+PracticeGrowth)^773</f>
        <v>6.8979599551528614E+21</v>
      </c>
      <c r="C775" s="4">
        <f>StudentsY1*(1+StudentGrowth)^773*CreditsPerStudent*TuitionPerCredit</f>
        <v>4.3112249719705385E+22</v>
      </c>
      <c r="D775" s="4">
        <f>SimRevY1*(1+SimGrowth)^773</f>
        <v>4.9603878109298471E+36</v>
      </c>
      <c r="E775" s="4">
        <f>FacDevRevY1*(1+FacDevGrowth)^773</f>
        <v>2.4801939054649235E+36</v>
      </c>
      <c r="F775" s="4">
        <f t="shared" si="48"/>
        <v>7.440581716394814E+36</v>
      </c>
      <c r="G775" s="4">
        <f t="shared" si="49"/>
        <v>7.4405817163948211E+36</v>
      </c>
      <c r="H775" s="4">
        <f>SalaryFTECount*SalaryPerFTE*(1+SalaryGrowth)^773</f>
        <v>3.0831210236573891E+18</v>
      </c>
      <c r="I775" s="4">
        <f>SimOpsY1*(1+SimOpsGrowth)^773</f>
        <v>2.0591322764770158E+30</v>
      </c>
      <c r="J775" s="4">
        <f>TrainDevY1*(1+TrainDevGrowth)^773</f>
        <v>1.0295661382385079E+30</v>
      </c>
      <c r="K775" s="4">
        <f>AdminY1*(1+AdminGrowth)^773</f>
        <v>7.2855752015713341E+23</v>
      </c>
      <c r="L775" s="4">
        <f t="shared" si="50"/>
        <v>3.0886991432761268E+30</v>
      </c>
      <c r="M775" s="4">
        <f t="shared" si="51"/>
        <v>7.4405786276956773E+36</v>
      </c>
    </row>
    <row r="776" spans="1:13" x14ac:dyDescent="0.2">
      <c r="A776" s="3">
        <f>StartYear+774</f>
        <v>2799</v>
      </c>
      <c r="B776" s="4">
        <f>FacultyFTE*HoursPerWeek*WeeksPerYear*RatePerHour*(1+PracticeGrowth)^774</f>
        <v>7.2428579529105038E+21</v>
      </c>
      <c r="C776" s="4">
        <f>StudentsY1*(1+StudentGrowth)^774*CreditsPerStudent*TuitionPerCredit</f>
        <v>4.5267862205690643E+22</v>
      </c>
      <c r="D776" s="4">
        <f>SimRevY1*(1+SimGrowth)^774</f>
        <v>5.4564265920228329E+36</v>
      </c>
      <c r="E776" s="4">
        <f>FacDevRevY1*(1+FacDevGrowth)^774</f>
        <v>2.7282132960114165E+36</v>
      </c>
      <c r="F776" s="4">
        <f t="shared" si="48"/>
        <v>8.1846398880342943E+36</v>
      </c>
      <c r="G776" s="4">
        <f t="shared" si="49"/>
        <v>8.1846398880343013E+36</v>
      </c>
      <c r="H776" s="4">
        <f>SalaryFTECount*SalaryPerFTE*(1+SalaryGrowth)^774</f>
        <v>3.2064458646036849E+18</v>
      </c>
      <c r="I776" s="4">
        <f>SimOpsY1*(1+SimOpsGrowth)^774</f>
        <v>2.2238628585951771E+30</v>
      </c>
      <c r="J776" s="4">
        <f>TrainDevY1*(1+TrainDevGrowth)^774</f>
        <v>1.1119314292975886E+30</v>
      </c>
      <c r="K776" s="4">
        <f>AdminY1*(1+AdminGrowth)^774</f>
        <v>7.7227097136656132E+23</v>
      </c>
      <c r="L776" s="4">
        <f t="shared" si="50"/>
        <v>3.3357950601669434E+30</v>
      </c>
      <c r="M776" s="4">
        <f t="shared" si="51"/>
        <v>8.1846365522392415E+36</v>
      </c>
    </row>
    <row r="777" spans="1:13" x14ac:dyDescent="0.2">
      <c r="A777" s="3">
        <f>StartYear+775</f>
        <v>2800</v>
      </c>
      <c r="B777" s="4">
        <f>FacultyFTE*HoursPerWeek*WeeksPerYear*RatePerHour*(1+PracticeGrowth)^775</f>
        <v>7.6050008505560303E+21</v>
      </c>
      <c r="C777" s="4">
        <f>StudentsY1*(1+StudentGrowth)^775*CreditsPerStudent*TuitionPerCredit</f>
        <v>4.753125531597519E+22</v>
      </c>
      <c r="D777" s="4">
        <f>SimRevY1*(1+SimGrowth)^775</f>
        <v>6.0020692512251165E+36</v>
      </c>
      <c r="E777" s="4">
        <f>FacDevRevY1*(1+FacDevGrowth)^775</f>
        <v>3.0010346256125582E+36</v>
      </c>
      <c r="F777" s="4">
        <f t="shared" si="48"/>
        <v>9.0031038768377219E+36</v>
      </c>
      <c r="G777" s="4">
        <f t="shared" si="49"/>
        <v>9.003103876837729E+36</v>
      </c>
      <c r="H777" s="4">
        <f>SalaryFTECount*SalaryPerFTE*(1+SalaryGrowth)^775</f>
        <v>3.3347036991878313E+18</v>
      </c>
      <c r="I777" s="4">
        <f>SimOpsY1*(1+SimOpsGrowth)^775</f>
        <v>2.4017718872827917E+30</v>
      </c>
      <c r="J777" s="4">
        <f>TrainDevY1*(1+TrainDevGrowth)^775</f>
        <v>1.2008859436413959E+30</v>
      </c>
      <c r="K777" s="4">
        <f>AdminY1*(1+AdminGrowth)^775</f>
        <v>8.1860722964855525E+23</v>
      </c>
      <c r="L777" s="4">
        <f t="shared" si="50"/>
        <v>3.6026586495347516E+30</v>
      </c>
      <c r="M777" s="4">
        <f t="shared" si="51"/>
        <v>9.0031002741790793E+36</v>
      </c>
    </row>
    <row r="778" spans="1:13" x14ac:dyDescent="0.2">
      <c r="A778" s="3">
        <f>StartYear+776</f>
        <v>2801</v>
      </c>
      <c r="B778" s="4">
        <f>FacultyFTE*HoursPerWeek*WeeksPerYear*RatePerHour*(1+PracticeGrowth)^776</f>
        <v>7.9852508930838312E+21</v>
      </c>
      <c r="C778" s="4">
        <f>StudentsY1*(1+StudentGrowth)^776*CreditsPerStudent*TuitionPerCredit</f>
        <v>4.9907818081773943E+22</v>
      </c>
      <c r="D778" s="4">
        <f>SimRevY1*(1+SimGrowth)^776</f>
        <v>6.602276176347629E+36</v>
      </c>
      <c r="E778" s="4">
        <f>FacDevRevY1*(1+FacDevGrowth)^776</f>
        <v>3.3011380881738145E+36</v>
      </c>
      <c r="F778" s="4">
        <f t="shared" si="48"/>
        <v>9.9034142645214937E+36</v>
      </c>
      <c r="G778" s="4">
        <f t="shared" si="49"/>
        <v>9.903414264521502E+36</v>
      </c>
      <c r="H778" s="4">
        <f>SalaryFTECount*SalaryPerFTE*(1+SalaryGrowth)^776</f>
        <v>3.4680918471553459E+18</v>
      </c>
      <c r="I778" s="4">
        <f>SimOpsY1*(1+SimOpsGrowth)^776</f>
        <v>2.5939136382654149E+30</v>
      </c>
      <c r="J778" s="4">
        <f>TrainDevY1*(1+TrainDevGrowth)^776</f>
        <v>1.2969568191327075E+30</v>
      </c>
      <c r="K778" s="4">
        <f>AdminY1*(1+AdminGrowth)^776</f>
        <v>8.6772366342746834E+23</v>
      </c>
      <c r="L778" s="4">
        <f t="shared" si="50"/>
        <v>3.8908713251252537E+30</v>
      </c>
      <c r="M778" s="4">
        <f t="shared" si="51"/>
        <v>9.9034103736501768E+36</v>
      </c>
    </row>
    <row r="779" spans="1:13" x14ac:dyDescent="0.2">
      <c r="A779" s="3">
        <f>StartYear+777</f>
        <v>2802</v>
      </c>
      <c r="B779" s="4">
        <f>FacultyFTE*HoursPerWeek*WeeksPerYear*RatePerHour*(1+PracticeGrowth)^777</f>
        <v>8.3845134377380227E+21</v>
      </c>
      <c r="C779" s="4">
        <f>StudentsY1*(1+StudentGrowth)^777*CreditsPerStudent*TuitionPerCredit</f>
        <v>5.2403208985862629E+22</v>
      </c>
      <c r="D779" s="4">
        <f>SimRevY1*(1+SimGrowth)^777</f>
        <v>7.2625037939823925E+36</v>
      </c>
      <c r="E779" s="4">
        <f>FacDevRevY1*(1+FacDevGrowth)^777</f>
        <v>3.6312518969911963E+36</v>
      </c>
      <c r="F779" s="4">
        <f t="shared" si="48"/>
        <v>1.0893755690973641E+37</v>
      </c>
      <c r="G779" s="4">
        <f t="shared" si="49"/>
        <v>1.089375569097365E+37</v>
      </c>
      <c r="H779" s="4">
        <f>SalaryFTECount*SalaryPerFTE*(1+SalaryGrowth)^777</f>
        <v>3.6068155210415596E+18</v>
      </c>
      <c r="I779" s="4">
        <f>SimOpsY1*(1+SimOpsGrowth)^777</f>
        <v>2.8014267293266483E+30</v>
      </c>
      <c r="J779" s="4">
        <f>TrainDevY1*(1+TrainDevGrowth)^777</f>
        <v>1.4007133646633242E+30</v>
      </c>
      <c r="K779" s="4">
        <f>AdminY1*(1+AdminGrowth)^777</f>
        <v>9.1978708323311665E+23</v>
      </c>
      <c r="L779" s="4">
        <f t="shared" si="50"/>
        <v>4.2021410137806625E+30</v>
      </c>
      <c r="M779" s="4">
        <f t="shared" si="51"/>
        <v>1.0893751488832636E+37</v>
      </c>
    </row>
    <row r="780" spans="1:13" x14ac:dyDescent="0.2">
      <c r="A780" s="3">
        <f>StartYear+778</f>
        <v>2803</v>
      </c>
      <c r="B780" s="4">
        <f>FacultyFTE*HoursPerWeek*WeeksPerYear*RatePerHour*(1+PracticeGrowth)^778</f>
        <v>8.8037391096249236E+21</v>
      </c>
      <c r="C780" s="4">
        <f>StudentsY1*(1+StudentGrowth)^778*CreditsPerStudent*TuitionPerCredit</f>
        <v>5.5023369435155769E+22</v>
      </c>
      <c r="D780" s="4">
        <f>SimRevY1*(1+SimGrowth)^778</f>
        <v>7.9887541733806325E+36</v>
      </c>
      <c r="E780" s="4">
        <f>FacDevRevY1*(1+FacDevGrowth)^778</f>
        <v>3.9943770866903163E+36</v>
      </c>
      <c r="F780" s="4">
        <f t="shared" si="48"/>
        <v>1.1983131260071004E+37</v>
      </c>
      <c r="G780" s="4">
        <f t="shared" si="49"/>
        <v>1.1983131260071013E+37</v>
      </c>
      <c r="H780" s="4">
        <f>SalaryFTECount*SalaryPerFTE*(1+SalaryGrowth)^778</f>
        <v>3.7510881418832225E+18</v>
      </c>
      <c r="I780" s="4">
        <f>SimOpsY1*(1+SimOpsGrowth)^778</f>
        <v>3.0255408676727801E+30</v>
      </c>
      <c r="J780" s="4">
        <f>TrainDevY1*(1+TrainDevGrowth)^778</f>
        <v>1.51277043383639E+30</v>
      </c>
      <c r="K780" s="4">
        <f>AdminY1*(1+AdminGrowth)^778</f>
        <v>9.7497430822710361E+23</v>
      </c>
      <c r="L780" s="4">
        <f t="shared" si="50"/>
        <v>4.5383122764872297E+30</v>
      </c>
      <c r="M780" s="4">
        <f t="shared" si="51"/>
        <v>1.1983126721758736E+37</v>
      </c>
    </row>
    <row r="781" spans="1:13" x14ac:dyDescent="0.2">
      <c r="A781" s="3">
        <f>StartYear+779</f>
        <v>2804</v>
      </c>
      <c r="B781" s="4">
        <f>FacultyFTE*HoursPerWeek*WeeksPerYear*RatePerHour*(1+PracticeGrowth)^779</f>
        <v>9.2439260651061699E+21</v>
      </c>
      <c r="C781" s="4">
        <f>StudentsY1*(1+StudentGrowth)^779*CreditsPerStudent*TuitionPerCredit</f>
        <v>5.7774537906913561E+22</v>
      </c>
      <c r="D781" s="4">
        <f>SimRevY1*(1+SimGrowth)^779</f>
        <v>8.7876295907186971E+36</v>
      </c>
      <c r="E781" s="4">
        <f>FacDevRevY1*(1+FacDevGrowth)^779</f>
        <v>4.3938147953593485E+36</v>
      </c>
      <c r="F781" s="4">
        <f t="shared" si="48"/>
        <v>1.3181444386078104E+37</v>
      </c>
      <c r="G781" s="4">
        <f t="shared" si="49"/>
        <v>1.3181444386078113E+37</v>
      </c>
      <c r="H781" s="4">
        <f>SalaryFTECount*SalaryPerFTE*(1+SalaryGrowth)^779</f>
        <v>3.9011316675585505E+18</v>
      </c>
      <c r="I781" s="4">
        <f>SimOpsY1*(1+SimOpsGrowth)^779</f>
        <v>3.2675841370866025E+30</v>
      </c>
      <c r="J781" s="4">
        <f>TrainDevY1*(1+TrainDevGrowth)^779</f>
        <v>1.6337920685433013E+30</v>
      </c>
      <c r="K781" s="4">
        <f>AdminY1*(1+AdminGrowth)^779</f>
        <v>1.03347276672073E+24</v>
      </c>
      <c r="L781" s="4">
        <f t="shared" si="50"/>
        <v>4.9013772391065715E+30</v>
      </c>
      <c r="M781" s="4">
        <f t="shared" si="51"/>
        <v>1.3181439484700875E+37</v>
      </c>
    </row>
    <row r="782" spans="1:13" x14ac:dyDescent="0.2">
      <c r="A782" s="3">
        <f>StartYear+780</f>
        <v>2805</v>
      </c>
      <c r="B782" s="4">
        <f>FacultyFTE*HoursPerWeek*WeeksPerYear*RatePerHour*(1+PracticeGrowth)^780</f>
        <v>9.7061223683614772E+21</v>
      </c>
      <c r="C782" s="4">
        <f>StudentsY1*(1+StudentGrowth)^780*CreditsPerStudent*TuitionPerCredit</f>
        <v>6.0663264802259237E+22</v>
      </c>
      <c r="D782" s="4">
        <f>SimRevY1*(1+SimGrowth)^780</f>
        <v>9.6663925497905669E+36</v>
      </c>
      <c r="E782" s="4">
        <f>FacDevRevY1*(1+FacDevGrowth)^780</f>
        <v>4.8331962748952834E+36</v>
      </c>
      <c r="F782" s="4">
        <f t="shared" si="48"/>
        <v>1.4499588824685911E+37</v>
      </c>
      <c r="G782" s="4">
        <f t="shared" si="49"/>
        <v>1.4499588824685921E+37</v>
      </c>
      <c r="H782" s="4">
        <f>SalaryFTECount*SalaryPerFTE*(1+SalaryGrowth)^780</f>
        <v>4.0571769342608932E+18</v>
      </c>
      <c r="I782" s="4">
        <f>SimOpsY1*(1+SimOpsGrowth)^780</f>
        <v>3.5289908680535312E+30</v>
      </c>
      <c r="J782" s="4">
        <f>TrainDevY1*(1+TrainDevGrowth)^780</f>
        <v>1.7644954340267656E+30</v>
      </c>
      <c r="K782" s="4">
        <f>AdminY1*(1+AdminGrowth)^780</f>
        <v>1.0954811327239738E+24</v>
      </c>
      <c r="L782" s="4">
        <f t="shared" si="50"/>
        <v>5.2934873975654861E+30</v>
      </c>
      <c r="M782" s="4">
        <f t="shared" si="51"/>
        <v>1.4499583531198523E+37</v>
      </c>
    </row>
    <row r="783" spans="1:13" x14ac:dyDescent="0.2">
      <c r="A783" s="3">
        <f>StartYear+781</f>
        <v>2806</v>
      </c>
      <c r="B783" s="4">
        <f>FacultyFTE*HoursPerWeek*WeeksPerYear*RatePerHour*(1+PracticeGrowth)^781</f>
        <v>1.0191428486779554E+22</v>
      </c>
      <c r="C783" s="4">
        <f>StudentsY1*(1+StudentGrowth)^781*CreditsPerStudent*TuitionPerCredit</f>
        <v>6.3696428042372208E+22</v>
      </c>
      <c r="D783" s="4">
        <f>SimRevY1*(1+SimGrowth)^781</f>
        <v>1.0633031804769623E+37</v>
      </c>
      <c r="E783" s="4">
        <f>FacDevRevY1*(1+FacDevGrowth)^781</f>
        <v>5.3165159023848115E+36</v>
      </c>
      <c r="F783" s="4">
        <f t="shared" si="48"/>
        <v>1.5949547707154499E+37</v>
      </c>
      <c r="G783" s="4">
        <f t="shared" si="49"/>
        <v>1.5949547707154509E+37</v>
      </c>
      <c r="H783" s="4">
        <f>SalaryFTECount*SalaryPerFTE*(1+SalaryGrowth)^781</f>
        <v>4.2194640116313293E+18</v>
      </c>
      <c r="I783" s="4">
        <f>SimOpsY1*(1+SimOpsGrowth)^781</f>
        <v>3.8113101374978135E+30</v>
      </c>
      <c r="J783" s="4">
        <f>TrainDevY1*(1+TrainDevGrowth)^781</f>
        <v>1.9056550687489067E+30</v>
      </c>
      <c r="K783" s="4">
        <f>AdminY1*(1+AdminGrowth)^781</f>
        <v>1.1612100006874124E+24</v>
      </c>
      <c r="L783" s="4">
        <f t="shared" si="50"/>
        <v>5.7169663674609398E+30</v>
      </c>
      <c r="M783" s="4">
        <f t="shared" si="51"/>
        <v>1.5949541990188141E+37</v>
      </c>
    </row>
    <row r="784" spans="1:13" x14ac:dyDescent="0.2">
      <c r="A784" s="3">
        <f>StartYear+782</f>
        <v>2807</v>
      </c>
      <c r="B784" s="4">
        <f>FacultyFTE*HoursPerWeek*WeeksPerYear*RatePerHour*(1+PracticeGrowth)^782</f>
        <v>1.0700999911118528E+22</v>
      </c>
      <c r="C784" s="4">
        <f>StudentsY1*(1+StudentGrowth)^782*CreditsPerStudent*TuitionPerCredit</f>
        <v>6.6881249444490797E+22</v>
      </c>
      <c r="D784" s="4">
        <f>SimRevY1*(1+SimGrowth)^782</f>
        <v>1.1696334985246587E+37</v>
      </c>
      <c r="E784" s="4">
        <f>FacDevRevY1*(1+FacDevGrowth)^782</f>
        <v>5.8481674926232935E+36</v>
      </c>
      <c r="F784" s="4">
        <f t="shared" si="48"/>
        <v>1.7544502477869947E+37</v>
      </c>
      <c r="G784" s="4">
        <f t="shared" si="49"/>
        <v>1.7544502477869958E+37</v>
      </c>
      <c r="H784" s="4">
        <f>SalaryFTECount*SalaryPerFTE*(1+SalaryGrowth)^782</f>
        <v>4.3882425720965827E+18</v>
      </c>
      <c r="I784" s="4">
        <f>SimOpsY1*(1+SimOpsGrowth)^782</f>
        <v>4.1162149484976391E+30</v>
      </c>
      <c r="J784" s="4">
        <f>TrainDevY1*(1+TrainDevGrowth)^782</f>
        <v>2.0581074742488196E+30</v>
      </c>
      <c r="K784" s="4">
        <f>AdminY1*(1+AdminGrowth)^782</f>
        <v>1.2308826007286571E+24</v>
      </c>
      <c r="L784" s="4">
        <f t="shared" si="50"/>
        <v>6.1743236536334477E+30</v>
      </c>
      <c r="M784" s="4">
        <f t="shared" si="51"/>
        <v>1.7544496303546304E+37</v>
      </c>
    </row>
    <row r="785" spans="1:13" x14ac:dyDescent="0.2">
      <c r="A785" s="3">
        <f>StartYear+783</f>
        <v>2808</v>
      </c>
      <c r="B785" s="4">
        <f>FacultyFTE*HoursPerWeek*WeeksPerYear*RatePerHour*(1+PracticeGrowth)^783</f>
        <v>1.1236049906674457E+22</v>
      </c>
      <c r="C785" s="4">
        <f>StudentsY1*(1+StudentGrowth)^783*CreditsPerStudent*TuitionPerCredit</f>
        <v>7.0225311916715357E+22</v>
      </c>
      <c r="D785" s="4">
        <f>SimRevY1*(1+SimGrowth)^783</f>
        <v>1.2865968483771246E+37</v>
      </c>
      <c r="E785" s="4">
        <f>FacDevRevY1*(1+FacDevGrowth)^783</f>
        <v>6.4329842418856228E+36</v>
      </c>
      <c r="F785" s="4">
        <f t="shared" si="48"/>
        <v>1.9298952725656939E+37</v>
      </c>
      <c r="G785" s="4">
        <f t="shared" si="49"/>
        <v>1.9298952725656951E+37</v>
      </c>
      <c r="H785" s="4">
        <f>SalaryFTECount*SalaryPerFTE*(1+SalaryGrowth)^783</f>
        <v>4.5637722749804457E+18</v>
      </c>
      <c r="I785" s="4">
        <f>SimOpsY1*(1+SimOpsGrowth)^783</f>
        <v>4.4455121443774506E+30</v>
      </c>
      <c r="J785" s="4">
        <f>TrainDevY1*(1+TrainDevGrowth)^783</f>
        <v>2.2227560721887253E+30</v>
      </c>
      <c r="K785" s="4">
        <f>AdminY1*(1+AdminGrowth)^783</f>
        <v>1.304735556772377E+24</v>
      </c>
      <c r="L785" s="4">
        <f t="shared" si="50"/>
        <v>6.6682695213062965E+30</v>
      </c>
      <c r="M785" s="4">
        <f t="shared" si="51"/>
        <v>1.9298946057387429E+37</v>
      </c>
    </row>
    <row r="786" spans="1:13" x14ac:dyDescent="0.2">
      <c r="A786" s="3">
        <f>StartYear+784</f>
        <v>2809</v>
      </c>
      <c r="B786" s="4">
        <f>FacultyFTE*HoursPerWeek*WeeksPerYear*RatePerHour*(1+PracticeGrowth)^784</f>
        <v>1.1797852402008182E+22</v>
      </c>
      <c r="C786" s="4">
        <f>StudentsY1*(1+StudentGrowth)^784*CreditsPerStudent*TuitionPerCredit</f>
        <v>7.3736577512551137E+22</v>
      </c>
      <c r="D786" s="4">
        <f>SimRevY1*(1+SimGrowth)^784</f>
        <v>1.415256533214837E+37</v>
      </c>
      <c r="E786" s="4">
        <f>FacDevRevY1*(1+FacDevGrowth)^784</f>
        <v>7.0762826660741851E+36</v>
      </c>
      <c r="F786" s="4">
        <f t="shared" si="48"/>
        <v>2.122884799822263E+37</v>
      </c>
      <c r="G786" s="4">
        <f t="shared" si="49"/>
        <v>2.1228847998222641E+37</v>
      </c>
      <c r="H786" s="4">
        <f>SalaryFTECount*SalaryPerFTE*(1+SalaryGrowth)^784</f>
        <v>4.7463231659796644E+18</v>
      </c>
      <c r="I786" s="4">
        <f>SimOpsY1*(1+SimOpsGrowth)^784</f>
        <v>4.8011531159276462E+30</v>
      </c>
      <c r="J786" s="4">
        <f>TrainDevY1*(1+TrainDevGrowth)^784</f>
        <v>2.4005765579638231E+30</v>
      </c>
      <c r="K786" s="4">
        <f>AdminY1*(1+AdminGrowth)^784</f>
        <v>1.383019690178719E+24</v>
      </c>
      <c r="L786" s="4">
        <f t="shared" si="50"/>
        <v>7.201731056915906E+30</v>
      </c>
      <c r="M786" s="4">
        <f t="shared" si="51"/>
        <v>2.1228840796491585E+37</v>
      </c>
    </row>
    <row r="787" spans="1:13" x14ac:dyDescent="0.2">
      <c r="A787" s="3">
        <f>StartYear+785</f>
        <v>2810</v>
      </c>
      <c r="B787" s="4">
        <f>FacultyFTE*HoursPerWeek*WeeksPerYear*RatePerHour*(1+PracticeGrowth)^785</f>
        <v>1.238774502210859E+22</v>
      </c>
      <c r="C787" s="4">
        <f>StudentsY1*(1+StudentGrowth)^785*CreditsPerStudent*TuitionPerCredit</f>
        <v>7.7423406388178688E+22</v>
      </c>
      <c r="D787" s="4">
        <f>SimRevY1*(1+SimGrowth)^785</f>
        <v>1.5567821865363206E+37</v>
      </c>
      <c r="E787" s="4">
        <f>FacDevRevY1*(1+FacDevGrowth)^785</f>
        <v>7.783910932681603E+36</v>
      </c>
      <c r="F787" s="4">
        <f t="shared" si="48"/>
        <v>2.3351732798044889E+37</v>
      </c>
      <c r="G787" s="4">
        <f t="shared" si="49"/>
        <v>2.3351732798044903E+37</v>
      </c>
      <c r="H787" s="4">
        <f>SalaryFTECount*SalaryPerFTE*(1+SalaryGrowth)^785</f>
        <v>4.9361760926188513E+18</v>
      </c>
      <c r="I787" s="4">
        <f>SimOpsY1*(1+SimOpsGrowth)^785</f>
        <v>5.1852453652018592E+30</v>
      </c>
      <c r="J787" s="4">
        <f>TrainDevY1*(1+TrainDevGrowth)^785</f>
        <v>2.5926226826009296E+30</v>
      </c>
      <c r="K787" s="4">
        <f>AdminY1*(1+AdminGrowth)^785</f>
        <v>1.4660008715894424E+24</v>
      </c>
      <c r="L787" s="4">
        <f t="shared" si="50"/>
        <v>7.7778695138085958E+30</v>
      </c>
      <c r="M787" s="4">
        <f t="shared" si="51"/>
        <v>2.3351725020175392E+37</v>
      </c>
    </row>
    <row r="788" spans="1:13" x14ac:dyDescent="0.2">
      <c r="A788" s="3">
        <f>StartYear+786</f>
        <v>2811</v>
      </c>
      <c r="B788" s="4">
        <f>FacultyFTE*HoursPerWeek*WeeksPerYear*RatePerHour*(1+PracticeGrowth)^786</f>
        <v>1.3007132273214019E+22</v>
      </c>
      <c r="C788" s="4">
        <f>StudentsY1*(1+StudentGrowth)^786*CreditsPerStudent*TuitionPerCredit</f>
        <v>8.1294576707587623E+22</v>
      </c>
      <c r="D788" s="4">
        <f>SimRevY1*(1+SimGrowth)^786</f>
        <v>1.7124604051899529E+37</v>
      </c>
      <c r="E788" s="4">
        <f>FacDevRevY1*(1+FacDevGrowth)^786</f>
        <v>8.5623020259497647E+36</v>
      </c>
      <c r="F788" s="4">
        <f t="shared" si="48"/>
        <v>2.5686906077849374E+37</v>
      </c>
      <c r="G788" s="4">
        <f t="shared" si="49"/>
        <v>2.5686906077849389E+37</v>
      </c>
      <c r="H788" s="4">
        <f>SalaryFTECount*SalaryPerFTE*(1+SalaryGrowth)^786</f>
        <v>5.1336231363236055E+18</v>
      </c>
      <c r="I788" s="4">
        <f>SimOpsY1*(1+SimOpsGrowth)^786</f>
        <v>5.600064994418008E+30</v>
      </c>
      <c r="J788" s="4">
        <f>TrainDevY1*(1+TrainDevGrowth)^786</f>
        <v>2.800032497209004E+30</v>
      </c>
      <c r="K788" s="4">
        <f>AdminY1*(1+AdminGrowth)^786</f>
        <v>1.553960923884809E+24</v>
      </c>
      <c r="L788" s="4">
        <f t="shared" si="50"/>
        <v>8.400099045593071E+30</v>
      </c>
      <c r="M788" s="4">
        <f t="shared" si="51"/>
        <v>2.5686897677750343E+37</v>
      </c>
    </row>
    <row r="789" spans="1:13" x14ac:dyDescent="0.2">
      <c r="A789" s="3">
        <f>StartYear+787</f>
        <v>2812</v>
      </c>
      <c r="B789" s="4">
        <f>FacultyFTE*HoursPerWeek*WeeksPerYear*RatePerHour*(1+PracticeGrowth)^787</f>
        <v>1.3657488886874721E+22</v>
      </c>
      <c r="C789" s="4">
        <f>StudentsY1*(1+StudentGrowth)^787*CreditsPerStudent*TuitionPerCredit</f>
        <v>8.5359305542967017E+22</v>
      </c>
      <c r="D789" s="4">
        <f>SimRevY1*(1+SimGrowth)^787</f>
        <v>1.8837064457089488E+37</v>
      </c>
      <c r="E789" s="4">
        <f>FacDevRevY1*(1+FacDevGrowth)^787</f>
        <v>9.418532228544744E+36</v>
      </c>
      <c r="F789" s="4">
        <f t="shared" si="48"/>
        <v>2.8255596685634317E+37</v>
      </c>
      <c r="G789" s="4">
        <f t="shared" si="49"/>
        <v>2.8255596685634331E+37</v>
      </c>
      <c r="H789" s="4">
        <f>SalaryFTECount*SalaryPerFTE*(1+SalaryGrowth)^787</f>
        <v>5.3389680617765499E+18</v>
      </c>
      <c r="I789" s="4">
        <f>SimOpsY1*(1+SimOpsGrowth)^787</f>
        <v>6.0480701939714485E+30</v>
      </c>
      <c r="J789" s="4">
        <f>TrainDevY1*(1+TrainDevGrowth)^787</f>
        <v>3.0240350969857242E+30</v>
      </c>
      <c r="K789" s="4">
        <f>AdminY1*(1+AdminGrowth)^787</f>
        <v>1.6471985793178977E+24</v>
      </c>
      <c r="L789" s="4">
        <f t="shared" si="50"/>
        <v>9.0721069381610904E+30</v>
      </c>
      <c r="M789" s="4">
        <f t="shared" si="51"/>
        <v>2.8255587613527395E+37</v>
      </c>
    </row>
    <row r="790" spans="1:13" x14ac:dyDescent="0.2">
      <c r="A790" s="3">
        <f>StartYear+788</f>
        <v>2813</v>
      </c>
      <c r="B790" s="4">
        <f>FacultyFTE*HoursPerWeek*WeeksPerYear*RatePerHour*(1+PracticeGrowth)^788</f>
        <v>1.4340363331218455E+22</v>
      </c>
      <c r="C790" s="4">
        <f>StudentsY1*(1+StudentGrowth)^788*CreditsPerStudent*TuitionPerCredit</f>
        <v>8.9627270820115333E+22</v>
      </c>
      <c r="D790" s="4">
        <f>SimRevY1*(1+SimGrowth)^788</f>
        <v>2.0720770902798437E+37</v>
      </c>
      <c r="E790" s="4">
        <f>FacDevRevY1*(1+FacDevGrowth)^788</f>
        <v>1.0360385451399219E+37</v>
      </c>
      <c r="F790" s="4">
        <f t="shared" si="48"/>
        <v>3.1081156354197745E+37</v>
      </c>
      <c r="G790" s="4">
        <f t="shared" si="49"/>
        <v>3.1081156354197759E+37</v>
      </c>
      <c r="H790" s="4">
        <f>SalaryFTECount*SalaryPerFTE*(1+SalaryGrowth)^788</f>
        <v>5.5525267842476114E+18</v>
      </c>
      <c r="I790" s="4">
        <f>SimOpsY1*(1+SimOpsGrowth)^788</f>
        <v>6.5319158094891641E+30</v>
      </c>
      <c r="J790" s="4">
        <f>TrainDevY1*(1+TrainDevGrowth)^788</f>
        <v>3.265957904744582E+30</v>
      </c>
      <c r="K790" s="4">
        <f>AdminY1*(1+AdminGrowth)^788</f>
        <v>1.7460304940769717E+24</v>
      </c>
      <c r="L790" s="4">
        <f t="shared" si="50"/>
        <v>9.7978754602697931E+30</v>
      </c>
      <c r="M790" s="4">
        <f t="shared" si="51"/>
        <v>3.1081146556322298E+37</v>
      </c>
    </row>
    <row r="791" spans="1:13" x14ac:dyDescent="0.2">
      <c r="A791" s="3">
        <f>StartYear+789</f>
        <v>2814</v>
      </c>
      <c r="B791" s="4">
        <f>FacultyFTE*HoursPerWeek*WeeksPerYear*RatePerHour*(1+PracticeGrowth)^789</f>
        <v>1.5057381497779379E+22</v>
      </c>
      <c r="C791" s="4">
        <f>StudentsY1*(1+StudentGrowth)^789*CreditsPerStudent*TuitionPerCredit</f>
        <v>9.410863436112111E+22</v>
      </c>
      <c r="D791" s="4">
        <f>SimRevY1*(1+SimGrowth)^789</f>
        <v>2.2792847993078285E+37</v>
      </c>
      <c r="E791" s="4">
        <f>FacDevRevY1*(1+FacDevGrowth)^789</f>
        <v>1.1396423996539142E+37</v>
      </c>
      <c r="F791" s="4">
        <f t="shared" si="48"/>
        <v>3.4189271989617519E+37</v>
      </c>
      <c r="G791" s="4">
        <f t="shared" si="49"/>
        <v>3.4189271989617533E+37</v>
      </c>
      <c r="H791" s="4">
        <f>SalaryFTECount*SalaryPerFTE*(1+SalaryGrowth)^789</f>
        <v>5.7746278556175176E+18</v>
      </c>
      <c r="I791" s="4">
        <f>SimOpsY1*(1+SimOpsGrowth)^789</f>
        <v>7.0544690742482983E+30</v>
      </c>
      <c r="J791" s="4">
        <f>TrainDevY1*(1+TrainDevGrowth)^789</f>
        <v>3.5272345371241492E+30</v>
      </c>
      <c r="K791" s="4">
        <f>AdminY1*(1+AdminGrowth)^789</f>
        <v>1.8507923237215901E+24</v>
      </c>
      <c r="L791" s="4">
        <f t="shared" si="50"/>
        <v>1.0581705462170547E+31</v>
      </c>
      <c r="M791" s="4">
        <f t="shared" si="51"/>
        <v>3.4189261407912072E+37</v>
      </c>
    </row>
    <row r="792" spans="1:13" x14ac:dyDescent="0.2">
      <c r="A792" s="3">
        <f>StartYear+790</f>
        <v>2815</v>
      </c>
      <c r="B792" s="4">
        <f>FacultyFTE*HoursPerWeek*WeeksPerYear*RatePerHour*(1+PracticeGrowth)^790</f>
        <v>1.5810250572668347E+22</v>
      </c>
      <c r="C792" s="4">
        <f>StudentsY1*(1+StudentGrowth)^790*CreditsPerStudent*TuitionPerCredit</f>
        <v>9.8814066079177179E+22</v>
      </c>
      <c r="D792" s="4">
        <f>SimRevY1*(1+SimGrowth)^790</f>
        <v>2.5072132792386113E+37</v>
      </c>
      <c r="E792" s="4">
        <f>FacDevRevY1*(1+FacDevGrowth)^790</f>
        <v>1.2536066396193056E+37</v>
      </c>
      <c r="F792" s="4">
        <f t="shared" si="48"/>
        <v>3.7608199188579268E+37</v>
      </c>
      <c r="G792" s="4">
        <f t="shared" si="49"/>
        <v>3.7608199188579282E+37</v>
      </c>
      <c r="H792" s="4">
        <f>SalaryFTECount*SalaryPerFTE*(1+SalaryGrowth)^790</f>
        <v>6.005612969842218E+18</v>
      </c>
      <c r="I792" s="4">
        <f>SimOpsY1*(1+SimOpsGrowth)^790</f>
        <v>7.6188266001881636E+30</v>
      </c>
      <c r="J792" s="4">
        <f>TrainDevY1*(1+TrainDevGrowth)^790</f>
        <v>3.8094133000940818E+30</v>
      </c>
      <c r="K792" s="4">
        <f>AdminY1*(1+AdminGrowth)^790</f>
        <v>1.9618398631448857E+24</v>
      </c>
      <c r="L792" s="4">
        <f t="shared" si="50"/>
        <v>1.1428241862128115E+31</v>
      </c>
      <c r="M792" s="4">
        <f t="shared" si="51"/>
        <v>3.7608187760337418E+37</v>
      </c>
    </row>
    <row r="793" spans="1:13" x14ac:dyDescent="0.2">
      <c r="A793" s="3">
        <f>StartYear+791</f>
        <v>2816</v>
      </c>
      <c r="B793" s="4">
        <f>FacultyFTE*HoursPerWeek*WeeksPerYear*RatePerHour*(1+PracticeGrowth)^791</f>
        <v>1.6600763101301768E+22</v>
      </c>
      <c r="C793" s="4">
        <f>StudentsY1*(1+StudentGrowth)^791*CreditsPerStudent*TuitionPerCredit</f>
        <v>1.0375476938313606E+23</v>
      </c>
      <c r="D793" s="4">
        <f>SimRevY1*(1+SimGrowth)^791</f>
        <v>2.7579346071624729E+37</v>
      </c>
      <c r="E793" s="4">
        <f>FacDevRevY1*(1+FacDevGrowth)^791</f>
        <v>1.3789673035812364E+37</v>
      </c>
      <c r="F793" s="4">
        <f t="shared" si="48"/>
        <v>4.1369019107437194E+37</v>
      </c>
      <c r="G793" s="4">
        <f t="shared" si="49"/>
        <v>4.1369019107437213E+37</v>
      </c>
      <c r="H793" s="4">
        <f>SalaryFTECount*SalaryPerFTE*(1+SalaryGrowth)^791</f>
        <v>6.245837488635906E+18</v>
      </c>
      <c r="I793" s="4">
        <f>SimOpsY1*(1+SimOpsGrowth)^791</f>
        <v>8.2283327282032166E+30</v>
      </c>
      <c r="J793" s="4">
        <f>TrainDevY1*(1+TrainDevGrowth)^791</f>
        <v>4.1141663641016083E+30</v>
      </c>
      <c r="K793" s="4">
        <f>AdminY1*(1+AdminGrowth)^791</f>
        <v>2.0795502549335793E+24</v>
      </c>
      <c r="L793" s="4">
        <f t="shared" si="50"/>
        <v>1.2342501171861326E+31</v>
      </c>
      <c r="M793" s="4">
        <f t="shared" si="51"/>
        <v>4.1369006764936042E+37</v>
      </c>
    </row>
    <row r="794" spans="1:13" x14ac:dyDescent="0.2">
      <c r="A794" s="3">
        <f>StartYear+792</f>
        <v>2817</v>
      </c>
      <c r="B794" s="4">
        <f>FacultyFTE*HoursPerWeek*WeeksPerYear*RatePerHour*(1+PracticeGrowth)^792</f>
        <v>1.7430801256366855E+22</v>
      </c>
      <c r="C794" s="4">
        <f>StudentsY1*(1+StudentGrowth)^792*CreditsPerStudent*TuitionPerCredit</f>
        <v>1.0894250785229283E+23</v>
      </c>
      <c r="D794" s="4">
        <f>SimRevY1*(1+SimGrowth)^792</f>
        <v>3.0337280678787192E+37</v>
      </c>
      <c r="E794" s="4">
        <f>FacDevRevY1*(1+FacDevGrowth)^792</f>
        <v>1.5168640339393596E+37</v>
      </c>
      <c r="F794" s="4">
        <f t="shared" si="48"/>
        <v>4.5505921018180896E+37</v>
      </c>
      <c r="G794" s="4">
        <f t="shared" si="49"/>
        <v>4.5505921018180915E+37</v>
      </c>
      <c r="H794" s="4">
        <f>SalaryFTECount*SalaryPerFTE*(1+SalaryGrowth)^792</f>
        <v>6.4956709881813432E+18</v>
      </c>
      <c r="I794" s="4">
        <f>SimOpsY1*(1+SimOpsGrowth)^792</f>
        <v>8.8865993464594725E+30</v>
      </c>
      <c r="J794" s="4">
        <f>TrainDevY1*(1+TrainDevGrowth)^792</f>
        <v>4.4432996732297363E+30</v>
      </c>
      <c r="K794" s="4">
        <f>AdminY1*(1+AdminGrowth)^792</f>
        <v>2.2043232702295935E+24</v>
      </c>
      <c r="L794" s="4">
        <f t="shared" si="50"/>
        <v>1.3329901224018975E+31</v>
      </c>
      <c r="M794" s="4">
        <f t="shared" si="51"/>
        <v>4.5505907688279691E+37</v>
      </c>
    </row>
    <row r="795" spans="1:13" x14ac:dyDescent="0.2">
      <c r="A795" s="3">
        <f>StartYear+793</f>
        <v>2818</v>
      </c>
      <c r="B795" s="4">
        <f>FacultyFTE*HoursPerWeek*WeeksPerYear*RatePerHour*(1+PracticeGrowth)^793</f>
        <v>1.8302341319185196E+22</v>
      </c>
      <c r="C795" s="4">
        <f>StudentsY1*(1+StudentGrowth)^793*CreditsPerStudent*TuitionPerCredit</f>
        <v>1.1438963324490747E+23</v>
      </c>
      <c r="D795" s="4">
        <f>SimRevY1*(1+SimGrowth)^793</f>
        <v>3.3371008746665918E+37</v>
      </c>
      <c r="E795" s="4">
        <f>FacDevRevY1*(1+FacDevGrowth)^793</f>
        <v>1.6685504373332959E+37</v>
      </c>
      <c r="F795" s="4">
        <f t="shared" si="48"/>
        <v>5.0056513119998988E+37</v>
      </c>
      <c r="G795" s="4">
        <f t="shared" si="49"/>
        <v>5.0056513119999007E+37</v>
      </c>
      <c r="H795" s="4">
        <f>SalaryFTECount*SalaryPerFTE*(1+SalaryGrowth)^793</f>
        <v>6.7554978277085983E+18</v>
      </c>
      <c r="I795" s="4">
        <f>SimOpsY1*(1+SimOpsGrowth)^793</f>
        <v>9.5975272941762312E+30</v>
      </c>
      <c r="J795" s="4">
        <f>TrainDevY1*(1+TrainDevGrowth)^793</f>
        <v>4.7987636470881156E+30</v>
      </c>
      <c r="K795" s="4">
        <f>AdminY1*(1+AdminGrowth)^793</f>
        <v>2.336582666443369E+24</v>
      </c>
      <c r="L795" s="4">
        <f t="shared" si="50"/>
        <v>1.4396293277853769E+31</v>
      </c>
      <c r="M795" s="4">
        <f t="shared" si="51"/>
        <v>5.0056498723705725E+37</v>
      </c>
    </row>
    <row r="796" spans="1:13" x14ac:dyDescent="0.2">
      <c r="A796" s="3">
        <f>StartYear+794</f>
        <v>2819</v>
      </c>
      <c r="B796" s="4">
        <f>FacultyFTE*HoursPerWeek*WeeksPerYear*RatePerHour*(1+PracticeGrowth)^794</f>
        <v>1.9217458385144456E+22</v>
      </c>
      <c r="C796" s="4">
        <f>StudentsY1*(1+StudentGrowth)^794*CreditsPerStudent*TuitionPerCredit</f>
        <v>1.2010911490715286E+23</v>
      </c>
      <c r="D796" s="4">
        <f>SimRevY1*(1+SimGrowth)^794</f>
        <v>3.6708109621332511E+37</v>
      </c>
      <c r="E796" s="4">
        <f>FacDevRevY1*(1+FacDevGrowth)^794</f>
        <v>1.8354054810666256E+37</v>
      </c>
      <c r="F796" s="4">
        <f t="shared" si="48"/>
        <v>5.506216443199889E+37</v>
      </c>
      <c r="G796" s="4">
        <f t="shared" si="49"/>
        <v>5.5062164431998909E+37</v>
      </c>
      <c r="H796" s="4">
        <f>SalaryFTECount*SalaryPerFTE*(1+SalaryGrowth)^794</f>
        <v>7.0257177408169411E+18</v>
      </c>
      <c r="I796" s="4">
        <f>SimOpsY1*(1+SimOpsGrowth)^794</f>
        <v>1.0365329477710331E+31</v>
      </c>
      <c r="J796" s="4">
        <f>TrainDevY1*(1+TrainDevGrowth)^794</f>
        <v>5.1826647388551654E+30</v>
      </c>
      <c r="K796" s="4">
        <f>AdminY1*(1+AdminGrowth)^794</f>
        <v>2.4767776264299716E+24</v>
      </c>
      <c r="L796" s="4">
        <f t="shared" si="50"/>
        <v>1.5547996693350147E+31</v>
      </c>
      <c r="M796" s="4">
        <f t="shared" si="51"/>
        <v>5.5062148884002214E+37</v>
      </c>
    </row>
    <row r="797" spans="1:13" x14ac:dyDescent="0.2">
      <c r="A797" s="3">
        <f>StartYear+795</f>
        <v>2820</v>
      </c>
      <c r="B797" s="4">
        <f>FacultyFTE*HoursPerWeek*WeeksPerYear*RatePerHour*(1+PracticeGrowth)^795</f>
        <v>2.0178331304401681E+22</v>
      </c>
      <c r="C797" s="4">
        <f>StudentsY1*(1+StudentGrowth)^795*CreditsPerStudent*TuitionPerCredit</f>
        <v>1.2611457065251052E+23</v>
      </c>
      <c r="D797" s="4">
        <f>SimRevY1*(1+SimGrowth)^795</f>
        <v>4.037892058346577E+37</v>
      </c>
      <c r="E797" s="4">
        <f>FacDevRevY1*(1+FacDevGrowth)^795</f>
        <v>2.0189460291732885E+37</v>
      </c>
      <c r="F797" s="4">
        <f t="shared" si="48"/>
        <v>6.0568380875198783E+37</v>
      </c>
      <c r="G797" s="4">
        <f t="shared" si="49"/>
        <v>6.0568380875198802E+37</v>
      </c>
      <c r="H797" s="4">
        <f>SalaryFTECount*SalaryPerFTE*(1+SalaryGrowth)^795</f>
        <v>7.3067464504496189E+18</v>
      </c>
      <c r="I797" s="4">
        <f>SimOpsY1*(1+SimOpsGrowth)^795</f>
        <v>1.1194555835927158E+31</v>
      </c>
      <c r="J797" s="4">
        <f>TrainDevY1*(1+TrainDevGrowth)^795</f>
        <v>5.5972779179635792E+30</v>
      </c>
      <c r="K797" s="4">
        <f>AdminY1*(1+AdminGrowth)^795</f>
        <v>2.6253842840157704E+24</v>
      </c>
      <c r="L797" s="4">
        <f t="shared" si="50"/>
        <v>1.6791836379282329E+31</v>
      </c>
      <c r="M797" s="4">
        <f t="shared" si="51"/>
        <v>6.0568364083362425E+37</v>
      </c>
    </row>
    <row r="798" spans="1:13" x14ac:dyDescent="0.2">
      <c r="A798" s="3">
        <f>StartYear+796</f>
        <v>2821</v>
      </c>
      <c r="B798" s="4">
        <f>FacultyFTE*HoursPerWeek*WeeksPerYear*RatePerHour*(1+PracticeGrowth)^796</f>
        <v>2.1187247869621764E+22</v>
      </c>
      <c r="C798" s="4">
        <f>StudentsY1*(1+StudentGrowth)^796*CreditsPerStudent*TuitionPerCredit</f>
        <v>1.3242029918513602E+23</v>
      </c>
      <c r="D798" s="4">
        <f>SimRevY1*(1+SimGrowth)^796</f>
        <v>4.4416812641812344E+37</v>
      </c>
      <c r="E798" s="4">
        <f>FacDevRevY1*(1+FacDevGrowth)^796</f>
        <v>2.2208406320906172E+37</v>
      </c>
      <c r="F798" s="4">
        <f t="shared" si="48"/>
        <v>6.6625218962718644E+37</v>
      </c>
      <c r="G798" s="4">
        <f t="shared" si="49"/>
        <v>6.6625218962718663E+37</v>
      </c>
      <c r="H798" s="4">
        <f>SalaryFTECount*SalaryPerFTE*(1+SalaryGrowth)^796</f>
        <v>7.5990163084676055E+18</v>
      </c>
      <c r="I798" s="4">
        <f>SimOpsY1*(1+SimOpsGrowth)^796</f>
        <v>1.2090120302801329E+31</v>
      </c>
      <c r="J798" s="4">
        <f>TrainDevY1*(1+TrainDevGrowth)^796</f>
        <v>6.0450601514006645E+30</v>
      </c>
      <c r="K798" s="4">
        <f>AdminY1*(1+AdminGrowth)^796</f>
        <v>2.7829073410567162E+24</v>
      </c>
      <c r="L798" s="4">
        <f t="shared" si="50"/>
        <v>1.8135183237116934E+31</v>
      </c>
      <c r="M798" s="4">
        <f t="shared" si="51"/>
        <v>6.6625200827535429E+37</v>
      </c>
    </row>
    <row r="799" spans="1:13" x14ac:dyDescent="0.2">
      <c r="A799" s="3">
        <f>StartYear+797</f>
        <v>2822</v>
      </c>
      <c r="B799" s="4">
        <f>FacultyFTE*HoursPerWeek*WeeksPerYear*RatePerHour*(1+PracticeGrowth)^797</f>
        <v>2.2246610263102854E+22</v>
      </c>
      <c r="C799" s="4">
        <f>StudentsY1*(1+StudentGrowth)^797*CreditsPerStudent*TuitionPerCredit</f>
        <v>1.3904131414439283E+23</v>
      </c>
      <c r="D799" s="4">
        <f>SimRevY1*(1+SimGrowth)^797</f>
        <v>4.8858493905993582E+37</v>
      </c>
      <c r="E799" s="4">
        <f>FacDevRevY1*(1+FacDevGrowth)^797</f>
        <v>2.4429246952996791E+37</v>
      </c>
      <c r="F799" s="4">
        <f t="shared" si="48"/>
        <v>7.3287740858990514E+37</v>
      </c>
      <c r="G799" s="4">
        <f t="shared" si="49"/>
        <v>7.3287740858990533E+37</v>
      </c>
      <c r="H799" s="4">
        <f>SalaryFTECount*SalaryPerFTE*(1+SalaryGrowth)^797</f>
        <v>7.9029769608063089E+18</v>
      </c>
      <c r="I799" s="4">
        <f>SimOpsY1*(1+SimOpsGrowth)^797</f>
        <v>1.3057329927025437E+31</v>
      </c>
      <c r="J799" s="4">
        <f>TrainDevY1*(1+TrainDevGrowth)^797</f>
        <v>6.5286649635127184E+30</v>
      </c>
      <c r="K799" s="4">
        <f>AdminY1*(1+AdminGrowth)^797</f>
        <v>2.9498817815201193E+24</v>
      </c>
      <c r="L799" s="4">
        <f t="shared" si="50"/>
        <v>1.9585997840427842E+31</v>
      </c>
      <c r="M799" s="4">
        <f t="shared" si="51"/>
        <v>7.3287721272992697E+37</v>
      </c>
    </row>
    <row r="800" spans="1:13" x14ac:dyDescent="0.2">
      <c r="A800" s="3">
        <f>StartYear+798</f>
        <v>2823</v>
      </c>
      <c r="B800" s="4">
        <f>FacultyFTE*HoursPerWeek*WeeksPerYear*RatePerHour*(1+PracticeGrowth)^798</f>
        <v>2.3358940776257989E+22</v>
      </c>
      <c r="C800" s="4">
        <f>StudentsY1*(1+StudentGrowth)^798*CreditsPerStudent*TuitionPerCredit</f>
        <v>1.4599337985161242E+23</v>
      </c>
      <c r="D800" s="4">
        <f>SimRevY1*(1+SimGrowth)^798</f>
        <v>5.3744343296592957E+37</v>
      </c>
      <c r="E800" s="4">
        <f>FacDevRevY1*(1+FacDevGrowth)^798</f>
        <v>2.6872171648296478E+37</v>
      </c>
      <c r="F800" s="4">
        <f t="shared" si="48"/>
        <v>8.0616514944889577E+37</v>
      </c>
      <c r="G800" s="4">
        <f t="shared" si="49"/>
        <v>8.0616514944889596E+37</v>
      </c>
      <c r="H800" s="4">
        <f>SalaryFTECount*SalaryPerFTE*(1+SalaryGrowth)^798</f>
        <v>8.2190960392385628E+18</v>
      </c>
      <c r="I800" s="4">
        <f>SimOpsY1*(1+SimOpsGrowth)^798</f>
        <v>1.4101916321187474E+31</v>
      </c>
      <c r="J800" s="4">
        <f>TrainDevY1*(1+TrainDevGrowth)^798</f>
        <v>7.0509581605937368E+30</v>
      </c>
      <c r="K800" s="4">
        <f>AdminY1*(1+AdminGrowth)^798</f>
        <v>3.1268746884113268E+24</v>
      </c>
      <c r="L800" s="4">
        <f t="shared" si="50"/>
        <v>2.1152877608664118E+31</v>
      </c>
      <c r="M800" s="4">
        <f t="shared" si="51"/>
        <v>8.0616493792011987E+37</v>
      </c>
    </row>
    <row r="801" spans="1:13" x14ac:dyDescent="0.2">
      <c r="A801" s="3">
        <f>StartYear+799</f>
        <v>2824</v>
      </c>
      <c r="B801" s="4">
        <f>FacultyFTE*HoursPerWeek*WeeksPerYear*RatePerHour*(1+PracticeGrowth)^799</f>
        <v>2.4526887815070901E+22</v>
      </c>
      <c r="C801" s="4">
        <f>StudentsY1*(1+StudentGrowth)^799*CreditsPerStudent*TuitionPerCredit</f>
        <v>1.5329304884419313E+23</v>
      </c>
      <c r="D801" s="4">
        <f>SimRevY1*(1+SimGrowth)^799</f>
        <v>5.9118777626252249E+37</v>
      </c>
      <c r="E801" s="4">
        <f>FacDevRevY1*(1+FacDevGrowth)^799</f>
        <v>2.9559388813126124E+37</v>
      </c>
      <c r="F801" s="4">
        <f t="shared" si="48"/>
        <v>8.8678166439378524E+37</v>
      </c>
      <c r="G801" s="4">
        <f t="shared" si="49"/>
        <v>8.8678166439378543E+37</v>
      </c>
      <c r="H801" s="4">
        <f>SalaryFTECount*SalaryPerFTE*(1+SalaryGrowth)^799</f>
        <v>8.5478598808081039E+18</v>
      </c>
      <c r="I801" s="4">
        <f>SimOpsY1*(1+SimOpsGrowth)^799</f>
        <v>1.5230069626882474E+31</v>
      </c>
      <c r="J801" s="4">
        <f>TrainDevY1*(1+TrainDevGrowth)^799</f>
        <v>7.6150348134412372E+30</v>
      </c>
      <c r="K801" s="4">
        <f>AdminY1*(1+AdminGrowth)^799</f>
        <v>3.3144871697160069E+24</v>
      </c>
      <c r="L801" s="4">
        <f t="shared" si="50"/>
        <v>2.2845107754819428E+31</v>
      </c>
      <c r="M801" s="4">
        <f t="shared" si="51"/>
        <v>8.8678143594270798E+37</v>
      </c>
    </row>
    <row r="802" spans="1:13" x14ac:dyDescent="0.2">
      <c r="A802" s="3">
        <f>StartYear+800</f>
        <v>2825</v>
      </c>
      <c r="B802" s="4">
        <f>FacultyFTE*HoursPerWeek*WeeksPerYear*RatePerHour*(1+PracticeGrowth)^800</f>
        <v>2.5753232205824439E+22</v>
      </c>
      <c r="C802" s="4">
        <f>StudentsY1*(1+StudentGrowth)^800*CreditsPerStudent*TuitionPerCredit</f>
        <v>1.6095770128640277E+23</v>
      </c>
      <c r="D802" s="4">
        <f>SimRevY1*(1+SimGrowth)^800</f>
        <v>6.5030655388877479E+37</v>
      </c>
      <c r="E802" s="4">
        <f>FacDevRevY1*(1+FacDevGrowth)^800</f>
        <v>3.251532769443874E+37</v>
      </c>
      <c r="F802" s="4">
        <f t="shared" si="48"/>
        <v>9.7545983083316384E+37</v>
      </c>
      <c r="G802" s="4">
        <f t="shared" si="49"/>
        <v>9.7545983083316403E+37</v>
      </c>
      <c r="H802" s="4">
        <f>SalaryFTECount*SalaryPerFTE*(1+SalaryGrowth)^800</f>
        <v>8.8897742760404285E+18</v>
      </c>
      <c r="I802" s="4">
        <f>SimOpsY1*(1+SimOpsGrowth)^800</f>
        <v>1.6448475197033072E+31</v>
      </c>
      <c r="J802" s="4">
        <f>TrainDevY1*(1+TrainDevGrowth)^800</f>
        <v>8.2242375985165361E+30</v>
      </c>
      <c r="K802" s="4">
        <f>AdminY1*(1+AdminGrowth)^800</f>
        <v>3.5133563998989674E+24</v>
      </c>
      <c r="L802" s="4">
        <f t="shared" si="50"/>
        <v>2.4672716308914901E+31</v>
      </c>
      <c r="M802" s="4">
        <f t="shared" si="51"/>
        <v>9.7545958410600089E+37</v>
      </c>
    </row>
    <row r="803" spans="1:13" x14ac:dyDescent="0.2">
      <c r="A803" s="3">
        <f>StartYear+801</f>
        <v>2826</v>
      </c>
      <c r="B803" s="4">
        <f>FacultyFTE*HoursPerWeek*WeeksPerYear*RatePerHour*(1+PracticeGrowth)^801</f>
        <v>2.7040893816115665E+22</v>
      </c>
      <c r="C803" s="4">
        <f>StudentsY1*(1+StudentGrowth)^801*CreditsPerStudent*TuitionPerCredit</f>
        <v>1.6900558635072289E+23</v>
      </c>
      <c r="D803" s="4">
        <f>SimRevY1*(1+SimGrowth)^801</f>
        <v>7.1533720927765232E+37</v>
      </c>
      <c r="E803" s="4">
        <f>FacDevRevY1*(1+FacDevGrowth)^801</f>
        <v>3.5766860463882616E+37</v>
      </c>
      <c r="F803" s="4">
        <f t="shared" si="48"/>
        <v>1.0730058139164801E+38</v>
      </c>
      <c r="G803" s="4">
        <f t="shared" si="49"/>
        <v>1.0730058139164803E+38</v>
      </c>
      <c r="H803" s="4">
        <f>SalaryFTECount*SalaryPerFTE*(1+SalaryGrowth)^801</f>
        <v>9.2453652470820454E+18</v>
      </c>
      <c r="I803" s="4">
        <f>SimOpsY1*(1+SimOpsGrowth)^801</f>
        <v>1.7764353212795719E+31</v>
      </c>
      <c r="J803" s="4">
        <f>TrainDevY1*(1+TrainDevGrowth)^801</f>
        <v>8.8821766063978594E+30</v>
      </c>
      <c r="K803" s="4">
        <f>AdminY1*(1+AdminGrowth)^801</f>
        <v>3.7241577838929054E+24</v>
      </c>
      <c r="L803" s="4">
        <f t="shared" si="50"/>
        <v>2.6646533543360609E+31</v>
      </c>
      <c r="M803" s="4">
        <f t="shared" si="51"/>
        <v>1.0730055474511449E+38</v>
      </c>
    </row>
    <row r="804" spans="1:13" x14ac:dyDescent="0.2">
      <c r="A804" s="3">
        <f>StartYear+802</f>
        <v>2827</v>
      </c>
      <c r="B804" s="4">
        <f>FacultyFTE*HoursPerWeek*WeeksPerYear*RatePerHour*(1+PracticeGrowth)^802</f>
        <v>2.8392938506921448E+22</v>
      </c>
      <c r="C804" s="4">
        <f>StudentsY1*(1+StudentGrowth)^802*CreditsPerStudent*TuitionPerCredit</f>
        <v>1.7745586566825903E+23</v>
      </c>
      <c r="D804" s="4">
        <f>SimRevY1*(1+SimGrowth)^802</f>
        <v>7.8687093020541773E+37</v>
      </c>
      <c r="E804" s="4">
        <f>FacDevRevY1*(1+FacDevGrowth)^802</f>
        <v>3.9343546510270887E+37</v>
      </c>
      <c r="F804" s="4">
        <f t="shared" si="48"/>
        <v>1.1803063953081285E+38</v>
      </c>
      <c r="G804" s="4">
        <f t="shared" si="49"/>
        <v>1.1803063953081289E+38</v>
      </c>
      <c r="H804" s="4">
        <f>SalaryFTECount*SalaryPerFTE*(1+SalaryGrowth)^802</f>
        <v>9.6151798569653289E+18</v>
      </c>
      <c r="I804" s="4">
        <f>SimOpsY1*(1+SimOpsGrowth)^802</f>
        <v>1.9185501469819375E+31</v>
      </c>
      <c r="J804" s="4">
        <f>TrainDevY1*(1+TrainDevGrowth)^802</f>
        <v>9.5927507349096873E+30</v>
      </c>
      <c r="K804" s="4">
        <f>AdminY1*(1+AdminGrowth)^802</f>
        <v>3.9476072509264798E+24</v>
      </c>
      <c r="L804" s="4">
        <f t="shared" si="50"/>
        <v>2.8778256152345927E+31</v>
      </c>
      <c r="M804" s="4">
        <f t="shared" si="51"/>
        <v>1.1803061075255674E+38</v>
      </c>
    </row>
    <row r="805" spans="1:13" x14ac:dyDescent="0.2">
      <c r="A805" s="3">
        <f>StartYear+803</f>
        <v>2828</v>
      </c>
      <c r="B805" s="4">
        <f>FacultyFTE*HoursPerWeek*WeeksPerYear*RatePerHour*(1+PracticeGrowth)^803</f>
        <v>2.9812585432267526E+22</v>
      </c>
      <c r="C805" s="4">
        <f>StudentsY1*(1+StudentGrowth)^803*CreditsPerStudent*TuitionPerCredit</f>
        <v>1.86328658951672E+23</v>
      </c>
      <c r="D805" s="4">
        <f>SimRevY1*(1+SimGrowth)^803</f>
        <v>8.6555802322595943E+37</v>
      </c>
      <c r="E805" s="4">
        <f>FacDevRevY1*(1+FacDevGrowth)^803</f>
        <v>4.3277901161297971E+37</v>
      </c>
      <c r="F805" s="4">
        <f t="shared" si="48"/>
        <v>1.298337034838941E+38</v>
      </c>
      <c r="G805" s="4">
        <f t="shared" si="49"/>
        <v>1.2983370348389414E+38</v>
      </c>
      <c r="H805" s="4">
        <f>SalaryFTECount*SalaryPerFTE*(1+SalaryGrowth)^803</f>
        <v>9.9997870512439439E+18</v>
      </c>
      <c r="I805" s="4">
        <f>SimOpsY1*(1+SimOpsGrowth)^803</f>
        <v>2.0720341587404927E+31</v>
      </c>
      <c r="J805" s="4">
        <f>TrainDevY1*(1+TrainDevGrowth)^803</f>
        <v>1.0360170793702463E+31</v>
      </c>
      <c r="K805" s="4">
        <f>AdminY1*(1+AdminGrowth)^803</f>
        <v>4.1844636859820698E+24</v>
      </c>
      <c r="L805" s="4">
        <f t="shared" si="50"/>
        <v>3.1080516565581072E+31</v>
      </c>
      <c r="M805" s="4">
        <f t="shared" si="51"/>
        <v>1.2983367240337757E+38</v>
      </c>
    </row>
    <row r="806" spans="1:13" x14ac:dyDescent="0.2">
      <c r="A806" s="3">
        <f>StartYear+804</f>
        <v>2829</v>
      </c>
      <c r="B806" s="4">
        <f>FacultyFTE*HoursPerWeek*WeeksPerYear*RatePerHour*(1+PracticeGrowth)^804</f>
        <v>3.1303214703880897E+22</v>
      </c>
      <c r="C806" s="4">
        <f>StudentsY1*(1+StudentGrowth)^804*CreditsPerStudent*TuitionPerCredit</f>
        <v>1.9564509189925563E+23</v>
      </c>
      <c r="D806" s="4">
        <f>SimRevY1*(1+SimGrowth)^804</f>
        <v>9.5211382554855545E+37</v>
      </c>
      <c r="E806" s="4">
        <f>FacDevRevY1*(1+FacDevGrowth)^804</f>
        <v>4.7605691277427772E+37</v>
      </c>
      <c r="F806" s="4">
        <f t="shared" si="48"/>
        <v>1.4281707383228351E+38</v>
      </c>
      <c r="G806" s="4">
        <f t="shared" si="49"/>
        <v>1.4281707383228354E+38</v>
      </c>
      <c r="H806" s="4">
        <f>SalaryFTECount*SalaryPerFTE*(1+SalaryGrowth)^804</f>
        <v>1.0399778533293701E+19</v>
      </c>
      <c r="I806" s="4">
        <f>SimOpsY1*(1+SimOpsGrowth)^804</f>
        <v>2.2377968914397326E+31</v>
      </c>
      <c r="J806" s="4">
        <f>TrainDevY1*(1+TrainDevGrowth)^804</f>
        <v>1.1188984457198663E+31</v>
      </c>
      <c r="K806" s="4">
        <f>AdminY1*(1+AdminGrowth)^804</f>
        <v>4.4355315071409932E+24</v>
      </c>
      <c r="L806" s="4">
        <f t="shared" si="50"/>
        <v>3.3566957807137894E+31</v>
      </c>
      <c r="M806" s="4">
        <f t="shared" si="51"/>
        <v>1.4281704026532574E+38</v>
      </c>
    </row>
    <row r="807" spans="1:13" x14ac:dyDescent="0.2">
      <c r="A807" s="3">
        <f>StartYear+805</f>
        <v>2830</v>
      </c>
      <c r="B807" s="4">
        <f>FacultyFTE*HoursPerWeek*WeeksPerYear*RatePerHour*(1+PracticeGrowth)^805</f>
        <v>3.2868375439074946E+22</v>
      </c>
      <c r="C807" s="4">
        <f>StudentsY1*(1+StudentGrowth)^805*CreditsPerStudent*TuitionPerCredit</f>
        <v>2.0542734649421843E+23</v>
      </c>
      <c r="D807" s="4">
        <f>SimRevY1*(1+SimGrowth)^805</f>
        <v>1.0473252081034112E+38</v>
      </c>
      <c r="E807" s="4">
        <f>FacDevRevY1*(1+FacDevGrowth)^805</f>
        <v>5.2366260405170561E+37</v>
      </c>
      <c r="F807" s="4">
        <f t="shared" si="48"/>
        <v>1.5709878121551189E+38</v>
      </c>
      <c r="G807" s="4">
        <f t="shared" si="49"/>
        <v>1.5709878121551193E+38</v>
      </c>
      <c r="H807" s="4">
        <f>SalaryFTECount*SalaryPerFTE*(1+SalaryGrowth)^805</f>
        <v>1.0815769674625452E+19</v>
      </c>
      <c r="I807" s="4">
        <f>SimOpsY1*(1+SimOpsGrowth)^805</f>
        <v>2.4168206427549108E+31</v>
      </c>
      <c r="J807" s="4">
        <f>TrainDevY1*(1+TrainDevGrowth)^805</f>
        <v>1.2084103213774554E+31</v>
      </c>
      <c r="K807" s="4">
        <f>AdminY1*(1+AdminGrowth)^805</f>
        <v>4.7016633975694539E+24</v>
      </c>
      <c r="L807" s="4">
        <f t="shared" si="50"/>
        <v>3.6252314342997879E+31</v>
      </c>
      <c r="M807" s="4">
        <f t="shared" si="51"/>
        <v>1.5709874496319759E+38</v>
      </c>
    </row>
    <row r="808" spans="1:13" x14ac:dyDescent="0.2">
      <c r="A808" s="3">
        <f>StartYear+806</f>
        <v>2831</v>
      </c>
      <c r="B808" s="4">
        <f>FacultyFTE*HoursPerWeek*WeeksPerYear*RatePerHour*(1+PracticeGrowth)^806</f>
        <v>3.4511794211028688E+22</v>
      </c>
      <c r="C808" s="4">
        <f>StudentsY1*(1+StudentGrowth)^806*CreditsPerStudent*TuitionPerCredit</f>
        <v>2.1569871381892927E+23</v>
      </c>
      <c r="D808" s="4">
        <f>SimRevY1*(1+SimGrowth)^806</f>
        <v>1.1520577289137523E+38</v>
      </c>
      <c r="E808" s="4">
        <f>FacDevRevY1*(1+FacDevGrowth)^806</f>
        <v>5.7602886445687613E+37</v>
      </c>
      <c r="F808" s="4">
        <f t="shared" si="48"/>
        <v>1.7280865933706307E+38</v>
      </c>
      <c r="G808" s="4">
        <f t="shared" si="49"/>
        <v>1.728086593370631E+38</v>
      </c>
      <c r="H808" s="4">
        <f>SalaryFTECount*SalaryPerFTE*(1+SalaryGrowth)^806</f>
        <v>1.1248400461610467E+19</v>
      </c>
      <c r="I808" s="4">
        <f>SimOpsY1*(1+SimOpsGrowth)^806</f>
        <v>2.6101662941753043E+31</v>
      </c>
      <c r="J808" s="4">
        <f>TrainDevY1*(1+TrainDevGrowth)^806</f>
        <v>1.3050831470876522E+31</v>
      </c>
      <c r="K808" s="4">
        <f>AdminY1*(1+AdminGrowth)^806</f>
        <v>4.9837632014236217E+24</v>
      </c>
      <c r="L808" s="4">
        <f t="shared" si="50"/>
        <v>3.9152499396404018E+31</v>
      </c>
      <c r="M808" s="4">
        <f t="shared" si="51"/>
        <v>1.728086201845637E+38</v>
      </c>
    </row>
    <row r="809" spans="1:13" x14ac:dyDescent="0.2">
      <c r="A809" s="3">
        <f>StartYear+807</f>
        <v>2832</v>
      </c>
      <c r="B809" s="4">
        <f>FacultyFTE*HoursPerWeek*WeeksPerYear*RatePerHour*(1+PracticeGrowth)^807</f>
        <v>3.6237383921580124E+22</v>
      </c>
      <c r="C809" s="4">
        <f>StudentsY1*(1+StudentGrowth)^807*CreditsPerStudent*TuitionPerCredit</f>
        <v>2.264836495098758E+23</v>
      </c>
      <c r="D809" s="4">
        <f>SimRevY1*(1+SimGrowth)^807</f>
        <v>1.2672635018051278E+38</v>
      </c>
      <c r="E809" s="4">
        <f>FacDevRevY1*(1+FacDevGrowth)^807</f>
        <v>6.3363175090256388E+37</v>
      </c>
      <c r="F809" s="4">
        <f t="shared" si="48"/>
        <v>1.9008952527076938E+38</v>
      </c>
      <c r="G809" s="4">
        <f t="shared" si="49"/>
        <v>1.9008952527076942E+38</v>
      </c>
      <c r="H809" s="4">
        <f>SalaryFTECount*SalaryPerFTE*(1+SalaryGrowth)^807</f>
        <v>1.1698336480074885E+19</v>
      </c>
      <c r="I809" s="4">
        <f>SimOpsY1*(1+SimOpsGrowth)^807</f>
        <v>2.8189795977093288E+31</v>
      </c>
      <c r="J809" s="4">
        <f>TrainDevY1*(1+TrainDevGrowth)^807</f>
        <v>1.4094897988546644E+31</v>
      </c>
      <c r="K809" s="4">
        <f>AdminY1*(1+AdminGrowth)^807</f>
        <v>5.2827889935090394E+24</v>
      </c>
      <c r="L809" s="4">
        <f t="shared" si="50"/>
        <v>4.2284699248440621E+31</v>
      </c>
      <c r="M809" s="4">
        <f t="shared" si="51"/>
        <v>1.9008948298607016E+38</v>
      </c>
    </row>
    <row r="810" spans="1:13" x14ac:dyDescent="0.2">
      <c r="A810" s="3">
        <f>StartYear+808</f>
        <v>2833</v>
      </c>
      <c r="B810" s="4">
        <f>FacultyFTE*HoursPerWeek*WeeksPerYear*RatePerHour*(1+PracticeGrowth)^808</f>
        <v>3.8049253117659126E+22</v>
      </c>
      <c r="C810" s="4">
        <f>StudentsY1*(1+StudentGrowth)^808*CreditsPerStudent*TuitionPerCredit</f>
        <v>2.3780783198536957E+23</v>
      </c>
      <c r="D810" s="4">
        <f>SimRevY1*(1+SimGrowth)^808</f>
        <v>1.3939898519856402E+38</v>
      </c>
      <c r="E810" s="4">
        <f>FacDevRevY1*(1+FacDevGrowth)^808</f>
        <v>6.969949259928201E+37</v>
      </c>
      <c r="F810" s="4">
        <f t="shared" si="48"/>
        <v>2.0909847779784626E+38</v>
      </c>
      <c r="G810" s="4">
        <f t="shared" si="49"/>
        <v>2.090984777978463E+38</v>
      </c>
      <c r="H810" s="4">
        <f>SalaryFTECount*SalaryPerFTE*(1+SalaryGrowth)^808</f>
        <v>1.2166269939277885E+19</v>
      </c>
      <c r="I810" s="4">
        <f>SimOpsY1*(1+SimOpsGrowth)^808</f>
        <v>3.0444979655260754E+31</v>
      </c>
      <c r="J810" s="4">
        <f>TrainDevY1*(1+TrainDevGrowth)^808</f>
        <v>1.5222489827630377E+31</v>
      </c>
      <c r="K810" s="4">
        <f>AdminY1*(1+AdminGrowth)^808</f>
        <v>5.5997563331195806E+24</v>
      </c>
      <c r="L810" s="4">
        <f t="shared" si="50"/>
        <v>4.5667475082659625E+31</v>
      </c>
      <c r="M810" s="4">
        <f t="shared" si="51"/>
        <v>2.0909843213037123E+38</v>
      </c>
    </row>
    <row r="811" spans="1:13" x14ac:dyDescent="0.2">
      <c r="A811" s="3">
        <f>StartYear+809</f>
        <v>2834</v>
      </c>
      <c r="B811" s="4">
        <f>FacultyFTE*HoursPerWeek*WeeksPerYear*RatePerHour*(1+PracticeGrowth)^809</f>
        <v>3.9951715773542086E+22</v>
      </c>
      <c r="C811" s="4">
        <f>StudentsY1*(1+StudentGrowth)^809*CreditsPerStudent*TuitionPerCredit</f>
        <v>2.4969822358463804E+23</v>
      </c>
      <c r="D811" s="4">
        <f>SimRevY1*(1+SimGrowth)^809</f>
        <v>1.5333888371842046E+38</v>
      </c>
      <c r="E811" s="4">
        <f>FacDevRevY1*(1+FacDevGrowth)^809</f>
        <v>7.6669441859210229E+37</v>
      </c>
      <c r="F811" s="4">
        <f t="shared" si="48"/>
        <v>2.3000832557763092E+38</v>
      </c>
      <c r="G811" s="4">
        <f t="shared" si="49"/>
        <v>2.3000832557763096E+38</v>
      </c>
      <c r="H811" s="4">
        <f>SalaryFTECount*SalaryPerFTE*(1+SalaryGrowth)^809</f>
        <v>1.2652920736848998E+19</v>
      </c>
      <c r="I811" s="4">
        <f>SimOpsY1*(1+SimOpsGrowth)^809</f>
        <v>3.2880578027681613E+31</v>
      </c>
      <c r="J811" s="4">
        <f>TrainDevY1*(1+TrainDevGrowth)^809</f>
        <v>1.6440289013840807E+31</v>
      </c>
      <c r="K811" s="4">
        <f>AdminY1*(1+AdminGrowth)^809</f>
        <v>5.935741713106756E+24</v>
      </c>
      <c r="L811" s="4">
        <f t="shared" si="50"/>
        <v>4.9320872977276792E+31</v>
      </c>
      <c r="M811" s="4">
        <f t="shared" si="51"/>
        <v>2.30008276256758E+38</v>
      </c>
    </row>
    <row r="812" spans="1:13" x14ac:dyDescent="0.2">
      <c r="A812" s="3">
        <f>StartYear+810</f>
        <v>2835</v>
      </c>
      <c r="B812" s="4">
        <f>FacultyFTE*HoursPerWeek*WeeksPerYear*RatePerHour*(1+PracticeGrowth)^810</f>
        <v>4.1949301562219185E+22</v>
      </c>
      <c r="C812" s="4">
        <f>StudentsY1*(1+StudentGrowth)^810*CreditsPerStudent*TuitionPerCredit</f>
        <v>2.6218313476386993E+23</v>
      </c>
      <c r="D812" s="4">
        <f>SimRevY1*(1+SimGrowth)^810</f>
        <v>1.6867277209026252E+38</v>
      </c>
      <c r="E812" s="4">
        <f>FacDevRevY1*(1+FacDevGrowth)^810</f>
        <v>8.4336386045131258E+37</v>
      </c>
      <c r="F812" s="4">
        <f t="shared" si="48"/>
        <v>2.5300915813539405E+38</v>
      </c>
      <c r="G812" s="4">
        <f t="shared" si="49"/>
        <v>2.5300915813539409E+38</v>
      </c>
      <c r="H812" s="4">
        <f>SalaryFTECount*SalaryPerFTE*(1+SalaryGrowth)^810</f>
        <v>1.3159037566322958E+19</v>
      </c>
      <c r="I812" s="4">
        <f>SimOpsY1*(1+SimOpsGrowth)^810</f>
        <v>3.5511024269896141E+31</v>
      </c>
      <c r="J812" s="4">
        <f>TrainDevY1*(1+TrainDevGrowth)^810</f>
        <v>1.7755512134948071E+31</v>
      </c>
      <c r="K812" s="4">
        <f>AdminY1*(1+AdminGrowth)^810</f>
        <v>6.2918862158931619E+24</v>
      </c>
      <c r="L812" s="4">
        <f t="shared" si="50"/>
        <v>5.3266542696743589E+31</v>
      </c>
      <c r="M812" s="4">
        <f t="shared" si="51"/>
        <v>2.530091048688514E+38</v>
      </c>
    </row>
    <row r="813" spans="1:13" x14ac:dyDescent="0.2">
      <c r="A813" s="3">
        <f>StartYear+811</f>
        <v>2836</v>
      </c>
      <c r="B813" s="4">
        <f>FacultyFTE*HoursPerWeek*WeeksPerYear*RatePerHour*(1+PracticeGrowth)^811</f>
        <v>4.4046766640330166E+22</v>
      </c>
      <c r="C813" s="4">
        <f>StudentsY1*(1+StudentGrowth)^811*CreditsPerStudent*TuitionPerCredit</f>
        <v>2.7529229150206353E+23</v>
      </c>
      <c r="D813" s="4">
        <f>SimRevY1*(1+SimGrowth)^811</f>
        <v>1.8554004929928875E+38</v>
      </c>
      <c r="E813" s="4">
        <f>FacDevRevY1*(1+FacDevGrowth)^811</f>
        <v>9.2770024649644377E+37</v>
      </c>
      <c r="F813" s="4">
        <f t="shared" si="48"/>
        <v>2.783100739489334E+38</v>
      </c>
      <c r="G813" s="4">
        <f t="shared" si="49"/>
        <v>2.7831007394893343E+38</v>
      </c>
      <c r="H813" s="4">
        <f>SalaryFTECount*SalaryPerFTE*(1+SalaryGrowth)^811</f>
        <v>1.368539906897588E+19</v>
      </c>
      <c r="I813" s="4">
        <f>SimOpsY1*(1+SimOpsGrowth)^811</f>
        <v>3.8351906211487837E+31</v>
      </c>
      <c r="J813" s="4">
        <f>TrainDevY1*(1+TrainDevGrowth)^811</f>
        <v>1.9175953105743919E+31</v>
      </c>
      <c r="K813" s="4">
        <f>AdminY1*(1+AdminGrowth)^811</f>
        <v>6.6693993888467531E+24</v>
      </c>
      <c r="L813" s="4">
        <f t="shared" si="50"/>
        <v>5.7527865986644831E+31</v>
      </c>
      <c r="M813" s="4">
        <f t="shared" si="51"/>
        <v>2.7831001642106743E+38</v>
      </c>
    </row>
    <row r="814" spans="1:13" x14ac:dyDescent="0.2">
      <c r="A814" s="3">
        <f>StartYear+812</f>
        <v>2837</v>
      </c>
      <c r="B814" s="4">
        <f>FacultyFTE*HoursPerWeek*WeeksPerYear*RatePerHour*(1+PracticeGrowth)^812</f>
        <v>4.624910497234667E+22</v>
      </c>
      <c r="C814" s="4">
        <f>StudentsY1*(1+StudentGrowth)^812*CreditsPerStudent*TuitionPerCredit</f>
        <v>2.8905690607716665E+23</v>
      </c>
      <c r="D814" s="4">
        <f>SimRevY1*(1+SimGrowth)^812</f>
        <v>2.0409405422921768E+38</v>
      </c>
      <c r="E814" s="4">
        <f>FacDevRevY1*(1+FacDevGrowth)^812</f>
        <v>1.0204702711460884E+38</v>
      </c>
      <c r="F814" s="4">
        <f t="shared" si="48"/>
        <v>3.0614108134382681E+38</v>
      </c>
      <c r="G814" s="4">
        <f t="shared" si="49"/>
        <v>3.0614108134382685E+38</v>
      </c>
      <c r="H814" s="4">
        <f>SalaryFTECount*SalaryPerFTE*(1+SalaryGrowth)^812</f>
        <v>1.4232815031734915E+19</v>
      </c>
      <c r="I814" s="4">
        <f>SimOpsY1*(1+SimOpsGrowth)^812</f>
        <v>4.1420058708406861E+31</v>
      </c>
      <c r="J814" s="4">
        <f>TrainDevY1*(1+TrainDevGrowth)^812</f>
        <v>2.071002935420343E+31</v>
      </c>
      <c r="K814" s="4">
        <f>AdminY1*(1+AdminGrowth)^812</f>
        <v>7.0695633521775578E+24</v>
      </c>
      <c r="L814" s="4">
        <f t="shared" si="50"/>
        <v>6.2130095132187877E+31</v>
      </c>
      <c r="M814" s="4">
        <f t="shared" si="51"/>
        <v>3.0614101921373171E+38</v>
      </c>
    </row>
    <row r="815" spans="1:13" x14ac:dyDescent="0.2">
      <c r="A815" s="3">
        <f>StartYear+813</f>
        <v>2838</v>
      </c>
      <c r="B815" s="4">
        <f>FacultyFTE*HoursPerWeek*WeeksPerYear*RatePerHour*(1+PracticeGrowth)^813</f>
        <v>4.8561560220963999E+22</v>
      </c>
      <c r="C815" s="4">
        <f>StudentsY1*(1+StudentGrowth)^813*CreditsPerStudent*TuitionPerCredit</f>
        <v>3.0350975138102501E+23</v>
      </c>
      <c r="D815" s="4">
        <f>SimRevY1*(1+SimGrowth)^813</f>
        <v>2.2450345965213943E+38</v>
      </c>
      <c r="E815" s="4">
        <f>FacDevRevY1*(1+FacDevGrowth)^813</f>
        <v>1.1225172982606971E+38</v>
      </c>
      <c r="F815" s="4">
        <f t="shared" si="48"/>
        <v>3.3675518947820944E+38</v>
      </c>
      <c r="G815" s="4">
        <f t="shared" si="49"/>
        <v>3.3675518947820948E+38</v>
      </c>
      <c r="H815" s="4">
        <f>SalaryFTECount*SalaryPerFTE*(1+SalaryGrowth)^813</f>
        <v>1.4802127633004313E+19</v>
      </c>
      <c r="I815" s="4">
        <f>SimOpsY1*(1+SimOpsGrowth)^813</f>
        <v>4.4733663405079417E+31</v>
      </c>
      <c r="J815" s="4">
        <f>TrainDevY1*(1+TrainDevGrowth)^813</f>
        <v>2.2366831702539709E+31</v>
      </c>
      <c r="K815" s="4">
        <f>AdminY1*(1+AdminGrowth)^813</f>
        <v>7.4937371533082111E+24</v>
      </c>
      <c r="L815" s="4">
        <f t="shared" si="50"/>
        <v>6.7100502601371084E+31</v>
      </c>
      <c r="M815" s="4">
        <f t="shared" si="51"/>
        <v>3.3675512237770688E+38</v>
      </c>
    </row>
    <row r="816" spans="1:13" x14ac:dyDescent="0.2">
      <c r="A816" s="3">
        <f>StartYear+814</f>
        <v>2839</v>
      </c>
      <c r="B816" s="4">
        <f>FacultyFTE*HoursPerWeek*WeeksPerYear*RatePerHour*(1+PracticeGrowth)^814</f>
        <v>5.0989638232012191E+22</v>
      </c>
      <c r="C816" s="4">
        <f>StudentsY1*(1+StudentGrowth)^814*CreditsPerStudent*TuitionPerCredit</f>
        <v>3.186852389500762E+23</v>
      </c>
      <c r="D816" s="4">
        <f>SimRevY1*(1+SimGrowth)^814</f>
        <v>2.4695380561735341E+38</v>
      </c>
      <c r="E816" s="4">
        <f>FacDevRevY1*(1+FacDevGrowth)^814</f>
        <v>1.234769028086767E+38</v>
      </c>
      <c r="F816" s="4">
        <f t="shared" si="48"/>
        <v>3.704307084260304E+38</v>
      </c>
      <c r="G816" s="4">
        <f t="shared" si="49"/>
        <v>3.7043070842603047E+38</v>
      </c>
      <c r="H816" s="4">
        <f>SalaryFTECount*SalaryPerFTE*(1+SalaryGrowth)^814</f>
        <v>1.5394212738324486E+19</v>
      </c>
      <c r="I816" s="4">
        <f>SimOpsY1*(1+SimOpsGrowth)^814</f>
        <v>4.8312356477485765E+31</v>
      </c>
      <c r="J816" s="4">
        <f>TrainDevY1*(1+TrainDevGrowth)^814</f>
        <v>2.4156178238742883E+31</v>
      </c>
      <c r="K816" s="4">
        <f>AdminY1*(1+AdminGrowth)^814</f>
        <v>7.9433613825067046E+24</v>
      </c>
      <c r="L816" s="4">
        <f t="shared" si="50"/>
        <v>7.2468542659605424E+31</v>
      </c>
      <c r="M816" s="4">
        <f t="shared" si="51"/>
        <v>3.7043063595748782E+38</v>
      </c>
    </row>
    <row r="817" spans="1:13" x14ac:dyDescent="0.2">
      <c r="A817" s="3">
        <f>StartYear+815</f>
        <v>2840</v>
      </c>
      <c r="B817" s="4">
        <f>FacultyFTE*HoursPerWeek*WeeksPerYear*RatePerHour*(1+PracticeGrowth)^815</f>
        <v>5.3539120143612814E+22</v>
      </c>
      <c r="C817" s="4">
        <f>StudentsY1*(1+StudentGrowth)^815*CreditsPerStudent*TuitionPerCredit</f>
        <v>3.3461950089758006E+23</v>
      </c>
      <c r="D817" s="4">
        <f>SimRevY1*(1+SimGrowth)^815</f>
        <v>2.7164918617908879E+38</v>
      </c>
      <c r="E817" s="4">
        <f>FacDevRevY1*(1+FacDevGrowth)^815</f>
        <v>1.358245930895444E+38</v>
      </c>
      <c r="F817" s="4">
        <f t="shared" si="48"/>
        <v>4.0747377926863356E+38</v>
      </c>
      <c r="G817" s="4">
        <f t="shared" si="49"/>
        <v>4.0747377926863364E+38</v>
      </c>
      <c r="H817" s="4">
        <f>SalaryFTECount*SalaryPerFTE*(1+SalaryGrowth)^815</f>
        <v>1.6009981247857465E+19</v>
      </c>
      <c r="I817" s="4">
        <f>SimOpsY1*(1+SimOpsGrowth)^815</f>
        <v>5.2177344995684643E+31</v>
      </c>
      <c r="J817" s="4">
        <f>TrainDevY1*(1+TrainDevGrowth)^815</f>
        <v>2.6088672497842322E+31</v>
      </c>
      <c r="K817" s="4">
        <f>AdminY1*(1+AdminGrowth)^815</f>
        <v>8.4199630654571094E+24</v>
      </c>
      <c r="L817" s="4">
        <f t="shared" si="50"/>
        <v>7.8266025913506034E+31</v>
      </c>
      <c r="M817" s="4">
        <f t="shared" si="51"/>
        <v>4.0747370100260773E+38</v>
      </c>
    </row>
    <row r="818" spans="1:13" x14ac:dyDescent="0.2">
      <c r="A818" s="3">
        <f>StartYear+816</f>
        <v>2841</v>
      </c>
      <c r="B818" s="4">
        <f>FacultyFTE*HoursPerWeek*WeeksPerYear*RatePerHour*(1+PracticeGrowth)^816</f>
        <v>5.6216076150793445E+22</v>
      </c>
      <c r="C818" s="4">
        <f>StudentsY1*(1+StudentGrowth)^816*CreditsPerStudent*TuitionPerCredit</f>
        <v>3.5135047594245903E+23</v>
      </c>
      <c r="D818" s="4">
        <f>SimRevY1*(1+SimGrowth)^816</f>
        <v>2.9881410479699762E+38</v>
      </c>
      <c r="E818" s="4">
        <f>FacDevRevY1*(1+FacDevGrowth)^816</f>
        <v>1.4940705239849881E+38</v>
      </c>
      <c r="F818" s="4">
        <f t="shared" si="48"/>
        <v>4.4822115719549678E+38</v>
      </c>
      <c r="G818" s="4">
        <f t="shared" si="49"/>
        <v>4.4822115719549686E+38</v>
      </c>
      <c r="H818" s="4">
        <f>SalaryFTECount*SalaryPerFTE*(1+SalaryGrowth)^816</f>
        <v>1.6650380497771766E+19</v>
      </c>
      <c r="I818" s="4">
        <f>SimOpsY1*(1+SimOpsGrowth)^816</f>
        <v>5.6351532595339412E+31</v>
      </c>
      <c r="J818" s="4">
        <f>TrainDevY1*(1+TrainDevGrowth)^816</f>
        <v>2.8175766297669706E+31</v>
      </c>
      <c r="K818" s="4">
        <f>AdminY1*(1+AdminGrowth)^816</f>
        <v>8.9251608493845337E+24</v>
      </c>
      <c r="L818" s="4">
        <f t="shared" si="50"/>
        <v>8.4527307818186628E+31</v>
      </c>
      <c r="M818" s="4">
        <f t="shared" si="51"/>
        <v>4.4822107266818905E+38</v>
      </c>
    </row>
    <row r="819" spans="1:13" x14ac:dyDescent="0.2">
      <c r="A819" s="3">
        <f>StartYear+817</f>
        <v>2842</v>
      </c>
      <c r="B819" s="4">
        <f>FacultyFTE*HoursPerWeek*WeeksPerYear*RatePerHour*(1+PracticeGrowth)^817</f>
        <v>5.9026879958333132E+22</v>
      </c>
      <c r="C819" s="4">
        <f>StudentsY1*(1+StudentGrowth)^817*CreditsPerStudent*TuitionPerCredit</f>
        <v>3.6891799973958206E+23</v>
      </c>
      <c r="D819" s="4">
        <f>SimRevY1*(1+SimGrowth)^817</f>
        <v>3.2869551527669744E+38</v>
      </c>
      <c r="E819" s="4">
        <f>FacDevRevY1*(1+FacDevGrowth)^817</f>
        <v>1.6434775763834872E+38</v>
      </c>
      <c r="F819" s="4">
        <f t="shared" si="48"/>
        <v>4.9304327291504656E+38</v>
      </c>
      <c r="G819" s="4">
        <f t="shared" si="49"/>
        <v>4.9304327291504664E+38</v>
      </c>
      <c r="H819" s="4">
        <f>SalaryFTECount*SalaryPerFTE*(1+SalaryGrowth)^817</f>
        <v>1.7316395717682637E+19</v>
      </c>
      <c r="I819" s="4">
        <f>SimOpsY1*(1+SimOpsGrowth)^817</f>
        <v>6.085965520296656E+31</v>
      </c>
      <c r="J819" s="4">
        <f>TrainDevY1*(1+TrainDevGrowth)^817</f>
        <v>3.042982760148328E+31</v>
      </c>
      <c r="K819" s="4">
        <f>AdminY1*(1+AdminGrowth)^817</f>
        <v>9.4606705003476063E+24</v>
      </c>
      <c r="L819" s="4">
        <f t="shared" si="50"/>
        <v>9.1289492265137673E+31</v>
      </c>
      <c r="M819" s="4">
        <f t="shared" si="51"/>
        <v>4.9304318162555438E+38</v>
      </c>
    </row>
    <row r="820" spans="1:13" x14ac:dyDescent="0.2">
      <c r="A820" s="3">
        <f>StartYear+818</f>
        <v>2843</v>
      </c>
      <c r="B820" s="4">
        <f>FacultyFTE*HoursPerWeek*WeeksPerYear*RatePerHour*(1+PracticeGrowth)^818</f>
        <v>6.197822395624978E+22</v>
      </c>
      <c r="C820" s="4">
        <f>StudentsY1*(1+StudentGrowth)^818*CreditsPerStudent*TuitionPerCredit</f>
        <v>3.873638997265611E+23</v>
      </c>
      <c r="D820" s="4">
        <f>SimRevY1*(1+SimGrowth)^818</f>
        <v>3.6156506680436725E+38</v>
      </c>
      <c r="E820" s="4">
        <f>FacDevRevY1*(1+FacDevGrowth)^818</f>
        <v>1.8078253340218363E+38</v>
      </c>
      <c r="F820" s="4">
        <f t="shared" si="48"/>
        <v>5.4234760020655125E+38</v>
      </c>
      <c r="G820" s="4">
        <f t="shared" si="49"/>
        <v>5.4234760020655133E+38</v>
      </c>
      <c r="H820" s="4">
        <f>SalaryFTECount*SalaryPerFTE*(1+SalaryGrowth)^818</f>
        <v>1.8009051546389942E+19</v>
      </c>
      <c r="I820" s="4">
        <f>SimOpsY1*(1+SimOpsGrowth)^818</f>
        <v>6.572842761920389E+31</v>
      </c>
      <c r="J820" s="4">
        <f>TrainDevY1*(1+TrainDevGrowth)^818</f>
        <v>3.2864213809601945E+31</v>
      </c>
      <c r="K820" s="4">
        <f>AdminY1*(1+AdminGrowth)^818</f>
        <v>1.0028310730368462E+25</v>
      </c>
      <c r="L820" s="4">
        <f t="shared" si="50"/>
        <v>9.8592651457134579E+31</v>
      </c>
      <c r="M820" s="4">
        <f t="shared" si="51"/>
        <v>5.4234750161389989E+38</v>
      </c>
    </row>
    <row r="821" spans="1:13" x14ac:dyDescent="0.2">
      <c r="A821" s="3">
        <f>StartYear+819</f>
        <v>2844</v>
      </c>
      <c r="B821" s="4">
        <f>FacultyFTE*HoursPerWeek*WeeksPerYear*RatePerHour*(1+PracticeGrowth)^819</f>
        <v>6.5077135154062266E+22</v>
      </c>
      <c r="C821" s="4">
        <f>StudentsY1*(1+StudentGrowth)^819*CreditsPerStudent*TuitionPerCredit</f>
        <v>4.067320947128892E+23</v>
      </c>
      <c r="D821" s="4">
        <f>SimRevY1*(1+SimGrowth)^819</f>
        <v>3.9772157348480393E+38</v>
      </c>
      <c r="E821" s="4">
        <f>FacDevRevY1*(1+FacDevGrowth)^819</f>
        <v>1.9886078674240197E+38</v>
      </c>
      <c r="F821" s="4">
        <f t="shared" si="48"/>
        <v>5.9658236022720627E+38</v>
      </c>
      <c r="G821" s="4">
        <f t="shared" si="49"/>
        <v>5.9658236022720635E+38</v>
      </c>
      <c r="H821" s="4">
        <f>SalaryFTECount*SalaryPerFTE*(1+SalaryGrowth)^819</f>
        <v>1.8729413608245543E+19</v>
      </c>
      <c r="I821" s="4">
        <f>SimOpsY1*(1+SimOpsGrowth)^819</f>
        <v>7.0986701828740204E+31</v>
      </c>
      <c r="J821" s="4">
        <f>TrainDevY1*(1+TrainDevGrowth)^819</f>
        <v>3.5493350914370102E+31</v>
      </c>
      <c r="K821" s="4">
        <f>AdminY1*(1+AdminGrowth)^819</f>
        <v>1.0630009374190571E+25</v>
      </c>
      <c r="L821" s="4">
        <f t="shared" si="50"/>
        <v>1.0648006337313842E+32</v>
      </c>
      <c r="M821" s="4">
        <f t="shared" si="51"/>
        <v>5.9658225374714296E+38</v>
      </c>
    </row>
    <row r="822" spans="1:13" x14ac:dyDescent="0.2">
      <c r="A822" s="3">
        <f>StartYear+820</f>
        <v>2845</v>
      </c>
      <c r="B822" s="4">
        <f>FacultyFTE*HoursPerWeek*WeeksPerYear*RatePerHour*(1+PracticeGrowth)^820</f>
        <v>6.8330991911765381E+22</v>
      </c>
      <c r="C822" s="4">
        <f>StudentsY1*(1+StudentGrowth)^820*CreditsPerStudent*TuitionPerCredit</f>
        <v>4.2706869944853361E+23</v>
      </c>
      <c r="D822" s="4">
        <f>SimRevY1*(1+SimGrowth)^820</f>
        <v>4.3749373083328435E+38</v>
      </c>
      <c r="E822" s="4">
        <f>FacDevRevY1*(1+FacDevGrowth)^820</f>
        <v>2.1874686541664218E+38</v>
      </c>
      <c r="F822" s="4">
        <f t="shared" si="48"/>
        <v>6.5624059624992702E+38</v>
      </c>
      <c r="G822" s="4">
        <f t="shared" si="49"/>
        <v>6.562405962499271E+38</v>
      </c>
      <c r="H822" s="4">
        <f>SalaryFTECount*SalaryPerFTE*(1+SalaryGrowth)^820</f>
        <v>1.9478590152575365E+19</v>
      </c>
      <c r="I822" s="4">
        <f>SimOpsY1*(1+SimOpsGrowth)^820</f>
        <v>7.6665637975039414E+31</v>
      </c>
      <c r="J822" s="4">
        <f>TrainDevY1*(1+TrainDevGrowth)^820</f>
        <v>3.8332818987519707E+31</v>
      </c>
      <c r="K822" s="4">
        <f>AdminY1*(1+AdminGrowth)^820</f>
        <v>1.1267809936642005E+25</v>
      </c>
      <c r="L822" s="4">
        <f t="shared" si="50"/>
        <v>1.1499846823038854E+32</v>
      </c>
      <c r="M822" s="4">
        <f t="shared" si="51"/>
        <v>6.5624048125145889E+38</v>
      </c>
    </row>
    <row r="823" spans="1:13" x14ac:dyDescent="0.2">
      <c r="A823" s="3">
        <f>StartYear+821</f>
        <v>2846</v>
      </c>
      <c r="B823" s="4">
        <f>FacultyFTE*HoursPerWeek*WeeksPerYear*RatePerHour*(1+PracticeGrowth)^821</f>
        <v>7.1747541507353646E+22</v>
      </c>
      <c r="C823" s="4">
        <f>StudentsY1*(1+StudentGrowth)^821*CreditsPerStudent*TuitionPerCredit</f>
        <v>4.4842213442096023E+23</v>
      </c>
      <c r="D823" s="4">
        <f>SimRevY1*(1+SimGrowth)^821</f>
        <v>4.8124310391661287E+38</v>
      </c>
      <c r="E823" s="4">
        <f>FacDevRevY1*(1+FacDevGrowth)^821</f>
        <v>2.4062155195830644E+38</v>
      </c>
      <c r="F823" s="4">
        <f t="shared" si="48"/>
        <v>7.2186465587491972E+38</v>
      </c>
      <c r="G823" s="4">
        <f t="shared" si="49"/>
        <v>7.2186465587491972E+38</v>
      </c>
      <c r="H823" s="4">
        <f>SalaryFTECount*SalaryPerFTE*(1+SalaryGrowth)^821</f>
        <v>2.0257733758678381E+19</v>
      </c>
      <c r="I823" s="4">
        <f>SimOpsY1*(1+SimOpsGrowth)^821</f>
        <v>8.2798889013042584E+31</v>
      </c>
      <c r="J823" s="4">
        <f>TrainDevY1*(1+TrainDevGrowth)^821</f>
        <v>4.1399444506521292E+31</v>
      </c>
      <c r="K823" s="4">
        <f>AdminY1*(1+AdminGrowth)^821</f>
        <v>1.1943878532840527E+25</v>
      </c>
      <c r="L823" s="4">
        <f t="shared" si="50"/>
        <v>1.2419834546346269E+32</v>
      </c>
      <c r="M823" s="4">
        <f t="shared" si="51"/>
        <v>7.2186453167657423E+38</v>
      </c>
    </row>
    <row r="824" spans="1:13" x14ac:dyDescent="0.2">
      <c r="A824" s="3">
        <f>StartYear+822</f>
        <v>2847</v>
      </c>
      <c r="B824" s="4">
        <f>FacultyFTE*HoursPerWeek*WeeksPerYear*RatePerHour*(1+PracticeGrowth)^822</f>
        <v>7.5334918582721321E+22</v>
      </c>
      <c r="C824" s="4">
        <f>StudentsY1*(1+StudentGrowth)^822*CreditsPerStudent*TuitionPerCredit</f>
        <v>4.7084324114200821E+23</v>
      </c>
      <c r="D824" s="4">
        <f>SimRevY1*(1+SimGrowth)^822</f>
        <v>5.2936741430827418E+38</v>
      </c>
      <c r="E824" s="4">
        <f>FacDevRevY1*(1+FacDevGrowth)^822</f>
        <v>2.6468370715413709E+38</v>
      </c>
      <c r="F824" s="4">
        <f t="shared" si="48"/>
        <v>7.9405112146241165E+38</v>
      </c>
      <c r="G824" s="4">
        <f t="shared" si="49"/>
        <v>7.9405112146241165E+38</v>
      </c>
      <c r="H824" s="4">
        <f>SalaryFTECount*SalaryPerFTE*(1+SalaryGrowth)^822</f>
        <v>2.1068043109025518E+19</v>
      </c>
      <c r="I824" s="4">
        <f>SimOpsY1*(1+SimOpsGrowth)^822</f>
        <v>8.9422800134086007E+31</v>
      </c>
      <c r="J824" s="4">
        <f>TrainDevY1*(1+TrainDevGrowth)^822</f>
        <v>4.4711400067043003E+31</v>
      </c>
      <c r="K824" s="4">
        <f>AdminY1*(1+AdminGrowth)^822</f>
        <v>1.2660511244810962E+25</v>
      </c>
      <c r="L824" s="4">
        <f t="shared" si="50"/>
        <v>1.3413421286166132E+32</v>
      </c>
      <c r="M824" s="4">
        <f t="shared" si="51"/>
        <v>7.9405098732819877E+38</v>
      </c>
    </row>
    <row r="825" spans="1:13" x14ac:dyDescent="0.2">
      <c r="A825" s="3">
        <f>StartYear+823</f>
        <v>2848</v>
      </c>
      <c r="B825" s="4">
        <f>FacultyFTE*HoursPerWeek*WeeksPerYear*RatePerHour*(1+PracticeGrowth)^823</f>
        <v>7.9101664511857414E+22</v>
      </c>
      <c r="C825" s="4">
        <f>StudentsY1*(1+StudentGrowth)^823*CreditsPerStudent*TuitionPerCredit</f>
        <v>4.9438540319910887E+23</v>
      </c>
      <c r="D825" s="4">
        <f>SimRevY1*(1+SimGrowth)^823</f>
        <v>5.8230415573910175E+38</v>
      </c>
      <c r="E825" s="4">
        <f>FacDevRevY1*(1+FacDevGrowth)^823</f>
        <v>2.9115207786955088E+38</v>
      </c>
      <c r="F825" s="4">
        <f t="shared" si="48"/>
        <v>8.7345623360865312E+38</v>
      </c>
      <c r="G825" s="4">
        <f t="shared" si="49"/>
        <v>8.7345623360865327E+38</v>
      </c>
      <c r="H825" s="4">
        <f>SalaryFTECount*SalaryPerFTE*(1+SalaryGrowth)^823</f>
        <v>2.1910764833386537E+19</v>
      </c>
      <c r="I825" s="4">
        <f>SimOpsY1*(1+SimOpsGrowth)^823</f>
        <v>9.6576624144812882E+31</v>
      </c>
      <c r="J825" s="4">
        <f>TrainDevY1*(1+TrainDevGrowth)^823</f>
        <v>4.8288312072406441E+31</v>
      </c>
      <c r="K825" s="4">
        <f>AdminY1*(1+AdminGrowth)^823</f>
        <v>1.342014191949962E+25</v>
      </c>
      <c r="L825" s="4">
        <f t="shared" si="50"/>
        <v>1.4486494963738315E+32</v>
      </c>
      <c r="M825" s="4">
        <f t="shared" si="51"/>
        <v>8.7345608874370367E+38</v>
      </c>
    </row>
    <row r="826" spans="1:13" x14ac:dyDescent="0.2">
      <c r="A826" s="3">
        <f>StartYear+824</f>
        <v>2849</v>
      </c>
      <c r="B826" s="4">
        <f>FacultyFTE*HoursPerWeek*WeeksPerYear*RatePerHour*(1+PracticeGrowth)^824</f>
        <v>8.3056747737450281E+22</v>
      </c>
      <c r="C826" s="4">
        <f>StudentsY1*(1+StudentGrowth)^824*CreditsPerStudent*TuitionPerCredit</f>
        <v>5.1910467335906422E+23</v>
      </c>
      <c r="D826" s="4">
        <f>SimRevY1*(1+SimGrowth)^824</f>
        <v>6.4053457131301177E+38</v>
      </c>
      <c r="E826" s="4">
        <f>FacDevRevY1*(1+FacDevGrowth)^824</f>
        <v>3.2026728565650588E+38</v>
      </c>
      <c r="F826" s="4">
        <f t="shared" si="48"/>
        <v>9.6080185696951814E+38</v>
      </c>
      <c r="G826" s="4">
        <f t="shared" si="49"/>
        <v>9.6080185696951829E+38</v>
      </c>
      <c r="H826" s="4">
        <f>SalaryFTECount*SalaryPerFTE*(1+SalaryGrowth)^824</f>
        <v>2.2787195426721997E+19</v>
      </c>
      <c r="I826" s="4">
        <f>SimOpsY1*(1+SimOpsGrowth)^824</f>
        <v>1.0430275407639792E+32</v>
      </c>
      <c r="J826" s="4">
        <f>TrainDevY1*(1+TrainDevGrowth)^824</f>
        <v>5.2151377038198962E+31</v>
      </c>
      <c r="K826" s="4">
        <f>AdminY1*(1+AdminGrowth)^824</f>
        <v>1.4225350434669593E+25</v>
      </c>
      <c r="L826" s="4">
        <f t="shared" si="50"/>
        <v>1.5645414533997011E+32</v>
      </c>
      <c r="M826" s="4">
        <f t="shared" si="51"/>
        <v>9.6080170051537299E+38</v>
      </c>
    </row>
    <row r="827" spans="1:13" x14ac:dyDescent="0.2">
      <c r="A827" s="3">
        <f>StartYear+825</f>
        <v>2850</v>
      </c>
      <c r="B827" s="4">
        <f>FacultyFTE*HoursPerWeek*WeeksPerYear*RatePerHour*(1+PracticeGrowth)^825</f>
        <v>8.7209585124322801E+22</v>
      </c>
      <c r="C827" s="4">
        <f>StudentsY1*(1+StudentGrowth)^825*CreditsPerStudent*TuitionPerCredit</f>
        <v>5.4505990702701746E+23</v>
      </c>
      <c r="D827" s="4">
        <f>SimRevY1*(1+SimGrowth)^825</f>
        <v>7.045880284443131E+38</v>
      </c>
      <c r="E827" s="4">
        <f>FacDevRevY1*(1+FacDevGrowth)^825</f>
        <v>3.5229401422215655E+38</v>
      </c>
      <c r="F827" s="4">
        <f t="shared" si="48"/>
        <v>1.0568820426664703E+39</v>
      </c>
      <c r="G827" s="4">
        <f t="shared" si="49"/>
        <v>1.0568820426664704E+39</v>
      </c>
      <c r="H827" s="4">
        <f>SalaryFTECount*SalaryPerFTE*(1+SalaryGrowth)^825</f>
        <v>2.3698683243790885E+19</v>
      </c>
      <c r="I827" s="4">
        <f>SimOpsY1*(1+SimOpsGrowth)^825</f>
        <v>1.1264697440250977E+32</v>
      </c>
      <c r="J827" s="4">
        <f>TrainDevY1*(1+TrainDevGrowth)^825</f>
        <v>5.6323487201254884E+31</v>
      </c>
      <c r="K827" s="4">
        <f>AdminY1*(1+AdminGrowth)^825</f>
        <v>1.5078871460749771E+25</v>
      </c>
      <c r="L827" s="4">
        <f t="shared" si="50"/>
        <v>1.6897047668265983E+32</v>
      </c>
      <c r="M827" s="4">
        <f t="shared" si="51"/>
        <v>1.0568818736959938E+39</v>
      </c>
    </row>
    <row r="828" spans="1:13" x14ac:dyDescent="0.2">
      <c r="A828" s="3">
        <f>StartYear+826</f>
        <v>2851</v>
      </c>
      <c r="B828" s="4">
        <f>FacultyFTE*HoursPerWeek*WeeksPerYear*RatePerHour*(1+PracticeGrowth)^826</f>
        <v>9.1570064380538948E+22</v>
      </c>
      <c r="C828" s="4">
        <f>StudentsY1*(1+StudentGrowth)^826*CreditsPerStudent*TuitionPerCredit</f>
        <v>5.7231290237836845E+23</v>
      </c>
      <c r="D828" s="4">
        <f>SimRevY1*(1+SimGrowth)^826</f>
        <v>7.7504683128874447E+38</v>
      </c>
      <c r="E828" s="4">
        <f>FacDevRevY1*(1+FacDevGrowth)^826</f>
        <v>3.8752341564437224E+38</v>
      </c>
      <c r="F828" s="4">
        <f t="shared" si="48"/>
        <v>1.1625702469331173E+39</v>
      </c>
      <c r="G828" s="4">
        <f t="shared" si="49"/>
        <v>1.1625702469331175E+39</v>
      </c>
      <c r="H828" s="4">
        <f>SalaryFTECount*SalaryPerFTE*(1+SalaryGrowth)^826</f>
        <v>2.4646630573542515E+19</v>
      </c>
      <c r="I828" s="4">
        <f>SimOpsY1*(1+SimOpsGrowth)^826</f>
        <v>1.2165873235471053E+32</v>
      </c>
      <c r="J828" s="4">
        <f>TrainDevY1*(1+TrainDevGrowth)^826</f>
        <v>6.0829366177355266E+31</v>
      </c>
      <c r="K828" s="4">
        <f>AdminY1*(1+AdminGrowth)^826</f>
        <v>1.5983603748394757E+25</v>
      </c>
      <c r="L828" s="4">
        <f t="shared" si="50"/>
        <v>1.8248811451569417E+32</v>
      </c>
      <c r="M828" s="4">
        <f t="shared" si="51"/>
        <v>1.1625700644450029E+39</v>
      </c>
    </row>
    <row r="829" spans="1:13" x14ac:dyDescent="0.2">
      <c r="A829" s="3">
        <f>StartYear+827</f>
        <v>2852</v>
      </c>
      <c r="B829" s="4">
        <f>FacultyFTE*HoursPerWeek*WeeksPerYear*RatePerHour*(1+PracticeGrowth)^827</f>
        <v>9.6148567599565901E+22</v>
      </c>
      <c r="C829" s="4">
        <f>StudentsY1*(1+StudentGrowth)^827*CreditsPerStudent*TuitionPerCredit</f>
        <v>6.0092854749728686E+23</v>
      </c>
      <c r="D829" s="4">
        <f>SimRevY1*(1+SimGrowth)^827</f>
        <v>8.5255151441761916E+38</v>
      </c>
      <c r="E829" s="4">
        <f>FacDevRevY1*(1+FacDevGrowth)^827</f>
        <v>4.2627575720880958E+38</v>
      </c>
      <c r="F829" s="4">
        <f t="shared" si="48"/>
        <v>1.2788272716264294E+39</v>
      </c>
      <c r="G829" s="4">
        <f t="shared" si="49"/>
        <v>1.2788272716264296E+39</v>
      </c>
      <c r="H829" s="4">
        <f>SalaryFTECount*SalaryPerFTE*(1+SalaryGrowth)^827</f>
        <v>2.5632495796484215E+19</v>
      </c>
      <c r="I829" s="4">
        <f>SimOpsY1*(1+SimOpsGrowth)^827</f>
        <v>1.3139143094308738E+32</v>
      </c>
      <c r="J829" s="4">
        <f>TrainDevY1*(1+TrainDevGrowth)^827</f>
        <v>6.5695715471543692E+31</v>
      </c>
      <c r="K829" s="4">
        <f>AdminY1*(1+AdminGrowth)^827</f>
        <v>1.6942619973298445E+25</v>
      </c>
      <c r="L829" s="4">
        <f t="shared" si="50"/>
        <v>1.9708716335727668E+32</v>
      </c>
      <c r="M829" s="4">
        <f t="shared" si="51"/>
        <v>1.2788270745392662E+39</v>
      </c>
    </row>
    <row r="830" spans="1:13" x14ac:dyDescent="0.2">
      <c r="A830" s="3">
        <f>StartYear+828</f>
        <v>2853</v>
      </c>
      <c r="B830" s="4">
        <f>FacultyFTE*HoursPerWeek*WeeksPerYear*RatePerHour*(1+PracticeGrowth)^828</f>
        <v>1.0095599597954415E+23</v>
      </c>
      <c r="C830" s="4">
        <f>StudentsY1*(1+StudentGrowth)^828*CreditsPerStudent*TuitionPerCredit</f>
        <v>6.3097497487215097E+23</v>
      </c>
      <c r="D830" s="4">
        <f>SimRevY1*(1+SimGrowth)^828</f>
        <v>9.3780666585938091E+38</v>
      </c>
      <c r="E830" s="4">
        <f>FacDevRevY1*(1+FacDevGrowth)^828</f>
        <v>4.6890333292969046E+38</v>
      </c>
      <c r="F830" s="4">
        <f t="shared" si="48"/>
        <v>1.4067099987890721E+39</v>
      </c>
      <c r="G830" s="4">
        <f t="shared" si="49"/>
        <v>1.4067099987890721E+39</v>
      </c>
      <c r="H830" s="4">
        <f>SalaryFTECount*SalaryPerFTE*(1+SalaryGrowth)^828</f>
        <v>2.6657795628343591E+19</v>
      </c>
      <c r="I830" s="4">
        <f>SimOpsY1*(1+SimOpsGrowth)^828</f>
        <v>1.4190274541853437E+32</v>
      </c>
      <c r="J830" s="4">
        <f>TrainDevY1*(1+TrainDevGrowth)^828</f>
        <v>7.0951372709267184E+31</v>
      </c>
      <c r="K830" s="4">
        <f>AdminY1*(1+AdminGrowth)^828</f>
        <v>1.795917717169635E+25</v>
      </c>
      <c r="L830" s="4">
        <f t="shared" si="50"/>
        <v>2.1285413608700538E+32</v>
      </c>
      <c r="M830" s="4">
        <f t="shared" si="51"/>
        <v>1.4067097859349359E+39</v>
      </c>
    </row>
    <row r="831" spans="1:13" x14ac:dyDescent="0.2">
      <c r="A831" s="3">
        <f>StartYear+829</f>
        <v>2854</v>
      </c>
      <c r="B831" s="4">
        <f>FacultyFTE*HoursPerWeek*WeeksPerYear*RatePerHour*(1+PracticeGrowth)^829</f>
        <v>1.0600379577852139E+23</v>
      </c>
      <c r="C831" s="4">
        <f>StudentsY1*(1+StudentGrowth)^829*CreditsPerStudent*TuitionPerCredit</f>
        <v>6.6252372361575873E+23</v>
      </c>
      <c r="D831" s="4">
        <f>SimRevY1*(1+SimGrowth)^829</f>
        <v>1.0315873324453193E+39</v>
      </c>
      <c r="E831" s="4">
        <f>FacDevRevY1*(1+FacDevGrowth)^829</f>
        <v>5.1579366622265964E+38</v>
      </c>
      <c r="F831" s="4">
        <f t="shared" si="48"/>
        <v>1.5473809986679795E+39</v>
      </c>
      <c r="G831" s="4">
        <f t="shared" si="49"/>
        <v>1.5473809986679795E+39</v>
      </c>
      <c r="H831" s="4">
        <f>SalaryFTECount*SalaryPerFTE*(1+SalaryGrowth)^829</f>
        <v>2.7724107453477339E+19</v>
      </c>
      <c r="I831" s="4">
        <f>SimOpsY1*(1+SimOpsGrowth)^829</f>
        <v>1.5325496505201715E+32</v>
      </c>
      <c r="J831" s="4">
        <f>TrainDevY1*(1+TrainDevGrowth)^829</f>
        <v>7.6627482526008574E+31</v>
      </c>
      <c r="K831" s="4">
        <f>AdminY1*(1+AdminGrowth)^829</f>
        <v>1.9036727801998139E+25</v>
      </c>
      <c r="L831" s="4">
        <f t="shared" si="50"/>
        <v>2.2988246661478124E+32</v>
      </c>
      <c r="M831" s="4">
        <f t="shared" si="51"/>
        <v>1.547380768785513E+39</v>
      </c>
    </row>
    <row r="832" spans="1:13" x14ac:dyDescent="0.2">
      <c r="A832" s="3">
        <f>StartYear+830</f>
        <v>2855</v>
      </c>
      <c r="B832" s="4">
        <f>FacultyFTE*HoursPerWeek*WeeksPerYear*RatePerHour*(1+PracticeGrowth)^830</f>
        <v>1.1130398556744743E+23</v>
      </c>
      <c r="C832" s="4">
        <f>StudentsY1*(1+StudentGrowth)^830*CreditsPerStudent*TuitionPerCredit</f>
        <v>6.9564990979654655E+23</v>
      </c>
      <c r="D832" s="4">
        <f>SimRevY1*(1+SimGrowth)^830</f>
        <v>1.1347460656898511E+39</v>
      </c>
      <c r="E832" s="4">
        <f>FacDevRevY1*(1+FacDevGrowth)^830</f>
        <v>5.6737303284492557E+38</v>
      </c>
      <c r="F832" s="4">
        <f t="shared" si="48"/>
        <v>1.7021190985347775E+39</v>
      </c>
      <c r="G832" s="4">
        <f t="shared" si="49"/>
        <v>1.7021190985347775E+39</v>
      </c>
      <c r="H832" s="4">
        <f>SalaryFTECount*SalaryPerFTE*(1+SalaryGrowth)^830</f>
        <v>2.8833071751616426E+19</v>
      </c>
      <c r="I832" s="4">
        <f>SimOpsY1*(1+SimOpsGrowth)^830</f>
        <v>1.6551536225617849E+32</v>
      </c>
      <c r="J832" s="4">
        <f>TrainDevY1*(1+TrainDevGrowth)^830</f>
        <v>8.2757681128089246E+31</v>
      </c>
      <c r="K832" s="4">
        <f>AdminY1*(1+AdminGrowth)^830</f>
        <v>2.0178931470118027E+25</v>
      </c>
      <c r="L832" s="4">
        <f t="shared" si="50"/>
        <v>2.4827306356322802E+32</v>
      </c>
      <c r="M832" s="4">
        <f t="shared" si="51"/>
        <v>1.702118850261714E+39</v>
      </c>
    </row>
    <row r="833" spans="1:13" x14ac:dyDescent="0.2">
      <c r="A833" s="3">
        <f>StartYear+831</f>
        <v>2856</v>
      </c>
      <c r="B833" s="4">
        <f>FacultyFTE*HoursPerWeek*WeeksPerYear*RatePerHour*(1+PracticeGrowth)^831</f>
        <v>1.1686918484581984E+23</v>
      </c>
      <c r="C833" s="4">
        <f>StudentsY1*(1+StudentGrowth)^831*CreditsPerStudent*TuitionPerCredit</f>
        <v>7.3043240528637401E+23</v>
      </c>
      <c r="D833" s="4">
        <f>SimRevY1*(1+SimGrowth)^831</f>
        <v>1.2482206722588362E+39</v>
      </c>
      <c r="E833" s="4">
        <f>FacDevRevY1*(1+FacDevGrowth)^831</f>
        <v>6.241103361294181E+38</v>
      </c>
      <c r="F833" s="4">
        <f t="shared" si="48"/>
        <v>1.872331008388255E+39</v>
      </c>
      <c r="G833" s="4">
        <f t="shared" si="49"/>
        <v>1.872331008388255E+39</v>
      </c>
      <c r="H833" s="4">
        <f>SalaryFTECount*SalaryPerFTE*(1+SalaryGrowth)^831</f>
        <v>2.9986394621681078E+19</v>
      </c>
      <c r="I833" s="4">
        <f>SimOpsY1*(1+SimOpsGrowth)^831</f>
        <v>1.7875659123667285E+32</v>
      </c>
      <c r="J833" s="4">
        <f>TrainDevY1*(1+TrainDevGrowth)^831</f>
        <v>8.9378295618336423E+31</v>
      </c>
      <c r="K833" s="4">
        <f>AdminY1*(1+AdminGrowth)^831</f>
        <v>2.1389667358325112E+25</v>
      </c>
      <c r="L833" s="4">
        <f t="shared" si="50"/>
        <v>2.6813490824470661E+32</v>
      </c>
      <c r="M833" s="4">
        <f t="shared" si="51"/>
        <v>1.8723307402533466E+39</v>
      </c>
    </row>
    <row r="834" spans="1:13" x14ac:dyDescent="0.2">
      <c r="A834" s="3">
        <f>StartYear+832</f>
        <v>2857</v>
      </c>
      <c r="B834" s="4">
        <f>FacultyFTE*HoursPerWeek*WeeksPerYear*RatePerHour*(1+PracticeGrowth)^832</f>
        <v>1.2271264408811084E+23</v>
      </c>
      <c r="C834" s="4">
        <f>StudentsY1*(1+StudentGrowth)^832*CreditsPerStudent*TuitionPerCredit</f>
        <v>7.6695402555069257E+23</v>
      </c>
      <c r="D834" s="4">
        <f>SimRevY1*(1+SimGrowth)^832</f>
        <v>1.3730427394847198E+39</v>
      </c>
      <c r="E834" s="4">
        <f>FacDevRevY1*(1+FacDevGrowth)^832</f>
        <v>6.8652136974235992E+38</v>
      </c>
      <c r="F834" s="4">
        <f t="shared" ref="F834:F897" si="52">C834+D834+E834</f>
        <v>2.0595641092270808E+39</v>
      </c>
      <c r="G834" s="4">
        <f t="shared" ref="G834:G897" si="53">B834+F834</f>
        <v>2.0595641092270808E+39</v>
      </c>
      <c r="H834" s="4">
        <f>SalaryFTECount*SalaryPerFTE*(1+SalaryGrowth)^832</f>
        <v>3.1185850406548333E+19</v>
      </c>
      <c r="I834" s="4">
        <f>SimOpsY1*(1+SimOpsGrowth)^832</f>
        <v>1.9305711853560666E+32</v>
      </c>
      <c r="J834" s="4">
        <f>TrainDevY1*(1+TrainDevGrowth)^832</f>
        <v>9.6528559267803331E+31</v>
      </c>
      <c r="K834" s="4">
        <f>AdminY1*(1+AdminGrowth)^832</f>
        <v>2.2673047399824609E+25</v>
      </c>
      <c r="L834" s="4">
        <f t="shared" ref="L834:L897" si="54">SUM(H834:K834)</f>
        <v>2.8958570047648863E+32</v>
      </c>
      <c r="M834" s="4">
        <f t="shared" ref="M834:M897" si="55">G834-L834</f>
        <v>2.0595638196413805E+39</v>
      </c>
    </row>
    <row r="835" spans="1:13" x14ac:dyDescent="0.2">
      <c r="A835" s="3">
        <f>StartYear+833</f>
        <v>2858</v>
      </c>
      <c r="B835" s="4">
        <f>FacultyFTE*HoursPerWeek*WeeksPerYear*RatePerHour*(1+PracticeGrowth)^833</f>
        <v>1.2884827629251639E+23</v>
      </c>
      <c r="C835" s="4">
        <f>StudentsY1*(1+StudentGrowth)^833*CreditsPerStudent*TuitionPerCredit</f>
        <v>8.0530172682822752E+23</v>
      </c>
      <c r="D835" s="4">
        <f>SimRevY1*(1+SimGrowth)^833</f>
        <v>1.5103470134331918E+39</v>
      </c>
      <c r="E835" s="4">
        <f>FacDevRevY1*(1+FacDevGrowth)^833</f>
        <v>7.5517350671659589E+38</v>
      </c>
      <c r="F835" s="4">
        <f t="shared" si="52"/>
        <v>2.2655205201497886E+39</v>
      </c>
      <c r="G835" s="4">
        <f t="shared" si="53"/>
        <v>2.2655205201497886E+39</v>
      </c>
      <c r="H835" s="4">
        <f>SalaryFTECount*SalaryPerFTE*(1+SalaryGrowth)^833</f>
        <v>3.2433284422810268E+19</v>
      </c>
      <c r="I835" s="4">
        <f>SimOpsY1*(1+SimOpsGrowth)^833</f>
        <v>2.0850168801845522E+32</v>
      </c>
      <c r="J835" s="4">
        <f>TrainDevY1*(1+TrainDevGrowth)^833</f>
        <v>1.0425084400922761E+32</v>
      </c>
      <c r="K835" s="4">
        <f>AdminY1*(1+AdminGrowth)^833</f>
        <v>2.4033430243814088E+25</v>
      </c>
      <c r="L835" s="4">
        <f t="shared" si="54"/>
        <v>3.1275255606114547E+32</v>
      </c>
      <c r="M835" s="4">
        <f t="shared" si="55"/>
        <v>2.2655202073972324E+39</v>
      </c>
    </row>
    <row r="836" spans="1:13" x14ac:dyDescent="0.2">
      <c r="A836" s="3">
        <f>StartYear+834</f>
        <v>2859</v>
      </c>
      <c r="B836" s="4">
        <f>FacultyFTE*HoursPerWeek*WeeksPerYear*RatePerHour*(1+PracticeGrowth)^834</f>
        <v>1.3529069010714219E+23</v>
      </c>
      <c r="C836" s="4">
        <f>StudentsY1*(1+StudentGrowth)^834*CreditsPerStudent*TuitionPerCredit</f>
        <v>8.4556681316963873E+23</v>
      </c>
      <c r="D836" s="4">
        <f>SimRevY1*(1+SimGrowth)^834</f>
        <v>1.6613817147765114E+39</v>
      </c>
      <c r="E836" s="4">
        <f>FacDevRevY1*(1+FacDevGrowth)^834</f>
        <v>8.3069085738825572E+38</v>
      </c>
      <c r="F836" s="4">
        <f t="shared" si="52"/>
        <v>2.4920725721647679E+39</v>
      </c>
      <c r="G836" s="4">
        <f t="shared" si="53"/>
        <v>2.4920725721647679E+39</v>
      </c>
      <c r="H836" s="4">
        <f>SalaryFTECount*SalaryPerFTE*(1+SalaryGrowth)^834</f>
        <v>3.373061579972268E+19</v>
      </c>
      <c r="I836" s="4">
        <f>SimOpsY1*(1+SimOpsGrowth)^834</f>
        <v>2.2518182305993163E+32</v>
      </c>
      <c r="J836" s="4">
        <f>TrainDevY1*(1+TrainDevGrowth)^834</f>
        <v>1.1259091152996582E+32</v>
      </c>
      <c r="K836" s="4">
        <f>AdminY1*(1+AdminGrowth)^834</f>
        <v>2.5475436058442939E+25</v>
      </c>
      <c r="L836" s="4">
        <f t="shared" si="54"/>
        <v>3.3777276006536722E+32</v>
      </c>
      <c r="M836" s="4">
        <f t="shared" si="55"/>
        <v>2.492072234392008E+39</v>
      </c>
    </row>
    <row r="837" spans="1:13" x14ac:dyDescent="0.2">
      <c r="A837" s="3">
        <f>StartYear+835</f>
        <v>2860</v>
      </c>
      <c r="B837" s="4">
        <f>FacultyFTE*HoursPerWeek*WeeksPerYear*RatePerHour*(1+PracticeGrowth)^835</f>
        <v>1.4205522461249933E+23</v>
      </c>
      <c r="C837" s="4">
        <f>StudentsY1*(1+StudentGrowth)^835*CreditsPerStudent*TuitionPerCredit</f>
        <v>8.878451538281209E+23</v>
      </c>
      <c r="D837" s="4">
        <f>SimRevY1*(1+SimGrowth)^835</f>
        <v>1.827519886254163E+39</v>
      </c>
      <c r="E837" s="4">
        <f>FacDevRevY1*(1+FacDevGrowth)^835</f>
        <v>9.1375994312708149E+38</v>
      </c>
      <c r="F837" s="4">
        <f t="shared" si="52"/>
        <v>2.7412798293812457E+39</v>
      </c>
      <c r="G837" s="4">
        <f t="shared" si="53"/>
        <v>2.7412798293812457E+39</v>
      </c>
      <c r="H837" s="4">
        <f>SalaryFTECount*SalaryPerFTE*(1+SalaryGrowth)^835</f>
        <v>3.5079840431711584E+19</v>
      </c>
      <c r="I837" s="4">
        <f>SimOpsY1*(1+SimOpsGrowth)^835</f>
        <v>2.4319636890472619E+32</v>
      </c>
      <c r="J837" s="4">
        <f>TrainDevY1*(1+TrainDevGrowth)^835</f>
        <v>1.215981844523631E+32</v>
      </c>
      <c r="K837" s="4">
        <f>AdminY1*(1+AdminGrowth)^835</f>
        <v>2.7003962221949515E+25</v>
      </c>
      <c r="L837" s="4">
        <f t="shared" si="54"/>
        <v>3.6479458036108662E+32</v>
      </c>
      <c r="M837" s="4">
        <f t="shared" si="55"/>
        <v>2.7412794645866653E+39</v>
      </c>
    </row>
    <row r="838" spans="1:13" x14ac:dyDescent="0.2">
      <c r="A838" s="3">
        <f>StartYear+836</f>
        <v>2861</v>
      </c>
      <c r="B838" s="4">
        <f>FacultyFTE*HoursPerWeek*WeeksPerYear*RatePerHour*(1+PracticeGrowth)^836</f>
        <v>1.4915798584312427E+23</v>
      </c>
      <c r="C838" s="4">
        <f>StudentsY1*(1+StudentGrowth)^836*CreditsPerStudent*TuitionPerCredit</f>
        <v>9.3223741151952661E+23</v>
      </c>
      <c r="D838" s="4">
        <f>SimRevY1*(1+SimGrowth)^836</f>
        <v>2.0102718748795789E+39</v>
      </c>
      <c r="E838" s="4">
        <f>FacDevRevY1*(1+FacDevGrowth)^836</f>
        <v>1.0051359374397895E+39</v>
      </c>
      <c r="F838" s="4">
        <f t="shared" si="52"/>
        <v>3.0154078123193693E+39</v>
      </c>
      <c r="G838" s="4">
        <f t="shared" si="53"/>
        <v>3.0154078123193693E+39</v>
      </c>
      <c r="H838" s="4">
        <f>SalaryFTECount*SalaryPerFTE*(1+SalaryGrowth)^836</f>
        <v>3.6483034048980054E+19</v>
      </c>
      <c r="I838" s="4">
        <f>SimOpsY1*(1+SimOpsGrowth)^836</f>
        <v>2.6265207841710429E+32</v>
      </c>
      <c r="J838" s="4">
        <f>TrainDevY1*(1+TrainDevGrowth)^836</f>
        <v>1.3132603920855214E+32</v>
      </c>
      <c r="K838" s="4">
        <f>AdminY1*(1+AdminGrowth)^836</f>
        <v>2.8624199955266494E+25</v>
      </c>
      <c r="L838" s="4">
        <f t="shared" si="54"/>
        <v>3.9397814624989285E+32</v>
      </c>
      <c r="M838" s="4">
        <f t="shared" si="55"/>
        <v>3.0154074183412229E+39</v>
      </c>
    </row>
    <row r="839" spans="1:13" x14ac:dyDescent="0.2">
      <c r="A839" s="3">
        <f>StartYear+837</f>
        <v>2862</v>
      </c>
      <c r="B839" s="4">
        <f>FacultyFTE*HoursPerWeek*WeeksPerYear*RatePerHour*(1+PracticeGrowth)^837</f>
        <v>1.5661588513528052E+23</v>
      </c>
      <c r="C839" s="4">
        <f>StudentsY1*(1+StudentGrowth)^837*CreditsPerStudent*TuitionPerCredit</f>
        <v>9.7884928209550322E+23</v>
      </c>
      <c r="D839" s="4">
        <f>SimRevY1*(1+SimGrowth)^837</f>
        <v>2.211299062367537E+39</v>
      </c>
      <c r="E839" s="4">
        <f>FacDevRevY1*(1+FacDevGrowth)^837</f>
        <v>1.1056495311837685E+39</v>
      </c>
      <c r="F839" s="4">
        <f t="shared" si="52"/>
        <v>3.3169485935513061E+39</v>
      </c>
      <c r="G839" s="4">
        <f t="shared" si="53"/>
        <v>3.3169485935513061E+39</v>
      </c>
      <c r="H839" s="4">
        <f>SalaryFTECount*SalaryPerFTE*(1+SalaryGrowth)^837</f>
        <v>3.7942355410939257E+19</v>
      </c>
      <c r="I839" s="4">
        <f>SimOpsY1*(1+SimOpsGrowth)^837</f>
        <v>2.8366424469047268E+32</v>
      </c>
      <c r="J839" s="4">
        <f>TrainDevY1*(1+TrainDevGrowth)^837</f>
        <v>1.4183212234523634E+32</v>
      </c>
      <c r="K839" s="4">
        <f>AdminY1*(1+AdminGrowth)^837</f>
        <v>3.0341651952582484E+25</v>
      </c>
      <c r="L839" s="4">
        <f t="shared" si="54"/>
        <v>4.2549639737739893E+32</v>
      </c>
      <c r="M839" s="4">
        <f t="shared" si="55"/>
        <v>3.3169481680549089E+39</v>
      </c>
    </row>
    <row r="840" spans="1:13" x14ac:dyDescent="0.2">
      <c r="A840" s="3">
        <f>StartYear+838</f>
        <v>2863</v>
      </c>
      <c r="B840" s="4">
        <f>FacultyFTE*HoursPerWeek*WeeksPerYear*RatePerHour*(1+PracticeGrowth)^838</f>
        <v>1.6444667939204449E+23</v>
      </c>
      <c r="C840" s="4">
        <f>StudentsY1*(1+StudentGrowth)^838*CreditsPerStudent*TuitionPerCredit</f>
        <v>1.0277917462002781E+24</v>
      </c>
      <c r="D840" s="4">
        <f>SimRevY1*(1+SimGrowth)^838</f>
        <v>2.4324289686042913E+39</v>
      </c>
      <c r="E840" s="4">
        <f>FacDevRevY1*(1+FacDevGrowth)^838</f>
        <v>1.2162144843021456E+39</v>
      </c>
      <c r="F840" s="4">
        <f t="shared" si="52"/>
        <v>3.6486434529064376E+39</v>
      </c>
      <c r="G840" s="4">
        <f t="shared" si="53"/>
        <v>3.6486434529064376E+39</v>
      </c>
      <c r="H840" s="4">
        <f>SalaryFTECount*SalaryPerFTE*(1+SalaryGrowth)^838</f>
        <v>3.9460049627376828E+19</v>
      </c>
      <c r="I840" s="4">
        <f>SimOpsY1*(1+SimOpsGrowth)^838</f>
        <v>3.0635738426571049E+32</v>
      </c>
      <c r="J840" s="4">
        <f>TrainDevY1*(1+TrainDevGrowth)^838</f>
        <v>1.5317869213285524E+32</v>
      </c>
      <c r="K840" s="4">
        <f>AdminY1*(1+AdminGrowth)^838</f>
        <v>3.2162151069737428E+25</v>
      </c>
      <c r="L840" s="4">
        <f t="shared" si="54"/>
        <v>4.5953610856075627E+32</v>
      </c>
      <c r="M840" s="4">
        <f t="shared" si="55"/>
        <v>3.6486429933703287E+39</v>
      </c>
    </row>
    <row r="841" spans="1:13" x14ac:dyDescent="0.2">
      <c r="A841" s="3">
        <f>StartYear+839</f>
        <v>2864</v>
      </c>
      <c r="B841" s="4">
        <f>FacultyFTE*HoursPerWeek*WeeksPerYear*RatePerHour*(1+PracticeGrowth)^839</f>
        <v>1.7266901336164675E+23</v>
      </c>
      <c r="C841" s="4">
        <f>StudentsY1*(1+StudentGrowth)^839*CreditsPerStudent*TuitionPerCredit</f>
        <v>1.0791813335102922E+24</v>
      </c>
      <c r="D841" s="4">
        <f>SimRevY1*(1+SimGrowth)^839</f>
        <v>2.6756718654647208E+39</v>
      </c>
      <c r="E841" s="4">
        <f>FacDevRevY1*(1+FacDevGrowth)^839</f>
        <v>1.3378359327323604E+39</v>
      </c>
      <c r="F841" s="4">
        <f t="shared" si="52"/>
        <v>4.0135077981970824E+39</v>
      </c>
      <c r="G841" s="4">
        <f t="shared" si="53"/>
        <v>4.0135077981970824E+39</v>
      </c>
      <c r="H841" s="4">
        <f>SalaryFTECount*SalaryPerFTE*(1+SalaryGrowth)^839</f>
        <v>4.1038451612471902E+19</v>
      </c>
      <c r="I841" s="4">
        <f>SimOpsY1*(1+SimOpsGrowth)^839</f>
        <v>3.3086597500696733E+32</v>
      </c>
      <c r="J841" s="4">
        <f>TrainDevY1*(1+TrainDevGrowth)^839</f>
        <v>1.6543298750348367E+32</v>
      </c>
      <c r="K841" s="4">
        <f>AdminY1*(1+AdminGrowth)^839</f>
        <v>3.4091880133921689E+25</v>
      </c>
      <c r="L841" s="4">
        <f t="shared" si="54"/>
        <v>4.9629899660237217E+32</v>
      </c>
      <c r="M841" s="4">
        <f t="shared" si="55"/>
        <v>4.0135073018980858E+39</v>
      </c>
    </row>
    <row r="842" spans="1:13" x14ac:dyDescent="0.2">
      <c r="A842" s="3">
        <f>StartYear+840</f>
        <v>2865</v>
      </c>
      <c r="B842" s="4">
        <f>FacultyFTE*HoursPerWeek*WeeksPerYear*RatePerHour*(1+PracticeGrowth)^840</f>
        <v>1.8130246402972908E+23</v>
      </c>
      <c r="C842" s="4">
        <f>StudentsY1*(1+StudentGrowth)^840*CreditsPerStudent*TuitionPerCredit</f>
        <v>1.1331404001858067E+24</v>
      </c>
      <c r="D842" s="4">
        <f>SimRevY1*(1+SimGrowth)^840</f>
        <v>2.9432390520111923E+39</v>
      </c>
      <c r="E842" s="4">
        <f>FacDevRevY1*(1+FacDevGrowth)^840</f>
        <v>1.4716195260055961E+39</v>
      </c>
      <c r="F842" s="4">
        <f t="shared" si="52"/>
        <v>4.4148585780167899E+39</v>
      </c>
      <c r="G842" s="4">
        <f t="shared" si="53"/>
        <v>4.4148585780167899E+39</v>
      </c>
      <c r="H842" s="4">
        <f>SalaryFTECount*SalaryPerFTE*(1+SalaryGrowth)^840</f>
        <v>4.2679989676970779E+19</v>
      </c>
      <c r="I842" s="4">
        <f>SimOpsY1*(1+SimOpsGrowth)^840</f>
        <v>3.5733525300752474E+32</v>
      </c>
      <c r="J842" s="4">
        <f>TrainDevY1*(1+TrainDevGrowth)^840</f>
        <v>1.7866762650376237E+32</v>
      </c>
      <c r="K842" s="4">
        <f>AdminY1*(1+AdminGrowth)^840</f>
        <v>3.613739294195698E+25</v>
      </c>
      <c r="L842" s="4">
        <f t="shared" si="54"/>
        <v>5.3600291564872273E+32</v>
      </c>
      <c r="M842" s="4">
        <f t="shared" si="55"/>
        <v>4.4148580420138744E+39</v>
      </c>
    </row>
    <row r="843" spans="1:13" x14ac:dyDescent="0.2">
      <c r="A843" s="3">
        <f>StartYear+841</f>
        <v>2866</v>
      </c>
      <c r="B843" s="4">
        <f>FacultyFTE*HoursPerWeek*WeeksPerYear*RatePerHour*(1+PracticeGrowth)^841</f>
        <v>1.903675872312155E+23</v>
      </c>
      <c r="C843" s="4">
        <f>StudentsY1*(1+StudentGrowth)^841*CreditsPerStudent*TuitionPerCredit</f>
        <v>1.1897974201950969E+24</v>
      </c>
      <c r="D843" s="4">
        <f>SimRevY1*(1+SimGrowth)^841</f>
        <v>3.237562957212312E+39</v>
      </c>
      <c r="E843" s="4">
        <f>FacDevRevY1*(1+FacDevGrowth)^841</f>
        <v>1.618781478606156E+39</v>
      </c>
      <c r="F843" s="4">
        <f t="shared" si="52"/>
        <v>4.8563444358184693E+39</v>
      </c>
      <c r="G843" s="4">
        <f t="shared" si="53"/>
        <v>4.8563444358184693E+39</v>
      </c>
      <c r="H843" s="4">
        <f>SalaryFTECount*SalaryPerFTE*(1+SalaryGrowth)^841</f>
        <v>4.4387189264049611E+19</v>
      </c>
      <c r="I843" s="4">
        <f>SimOpsY1*(1+SimOpsGrowth)^841</f>
        <v>3.8592207324812681E+32</v>
      </c>
      <c r="J843" s="4">
        <f>TrainDevY1*(1+TrainDevGrowth)^841</f>
        <v>1.9296103662406341E+32</v>
      </c>
      <c r="K843" s="4">
        <f>AdminY1*(1+AdminGrowth)^841</f>
        <v>3.8305636518474395E+25</v>
      </c>
      <c r="L843" s="4">
        <f t="shared" si="54"/>
        <v>5.7888314817787109E+32</v>
      </c>
      <c r="M843" s="4">
        <f t="shared" si="55"/>
        <v>4.8563438569353212E+39</v>
      </c>
    </row>
    <row r="844" spans="1:13" x14ac:dyDescent="0.2">
      <c r="A844" s="3">
        <f>StartYear+842</f>
        <v>2867</v>
      </c>
      <c r="B844" s="4">
        <f>FacultyFTE*HoursPerWeek*WeeksPerYear*RatePerHour*(1+PracticeGrowth)^842</f>
        <v>1.9988596659277628E+23</v>
      </c>
      <c r="C844" s="4">
        <f>StudentsY1*(1+StudentGrowth)^842*CreditsPerStudent*TuitionPerCredit</f>
        <v>1.2492872912048517E+24</v>
      </c>
      <c r="D844" s="4">
        <f>SimRevY1*(1+SimGrowth)^842</f>
        <v>3.5613192529335436E+39</v>
      </c>
      <c r="E844" s="4">
        <f>FacDevRevY1*(1+FacDevGrowth)^842</f>
        <v>1.7806596264667718E+39</v>
      </c>
      <c r="F844" s="4">
        <f t="shared" si="52"/>
        <v>5.3419788794003163E+39</v>
      </c>
      <c r="G844" s="4">
        <f t="shared" si="53"/>
        <v>5.3419788794003163E+39</v>
      </c>
      <c r="H844" s="4">
        <f>SalaryFTECount*SalaryPerFTE*(1+SalaryGrowth)^842</f>
        <v>4.6162676834611601E+19</v>
      </c>
      <c r="I844" s="4">
        <f>SimOpsY1*(1+SimOpsGrowth)^842</f>
        <v>4.1679583910797699E+32</v>
      </c>
      <c r="J844" s="4">
        <f>TrainDevY1*(1+TrainDevGrowth)^842</f>
        <v>2.0839791955398849E+32</v>
      </c>
      <c r="K844" s="4">
        <f>AdminY1*(1+AdminGrowth)^842</f>
        <v>4.0603974709582862E+25</v>
      </c>
      <c r="L844" s="4">
        <f t="shared" si="54"/>
        <v>6.2519379926598641E+32</v>
      </c>
      <c r="M844" s="4">
        <f t="shared" si="55"/>
        <v>5.3419782542065169E+39</v>
      </c>
    </row>
    <row r="845" spans="1:13" x14ac:dyDescent="0.2">
      <c r="A845" s="3">
        <f>StartYear+843</f>
        <v>2868</v>
      </c>
      <c r="B845" s="4">
        <f>FacultyFTE*HoursPerWeek*WeeksPerYear*RatePerHour*(1+PracticeGrowth)^843</f>
        <v>2.0988026492241511E+23</v>
      </c>
      <c r="C845" s="4">
        <f>StudentsY1*(1+StudentGrowth)^843*CreditsPerStudent*TuitionPerCredit</f>
        <v>1.3117516557650945E+24</v>
      </c>
      <c r="D845" s="4">
        <f>SimRevY1*(1+SimGrowth)^843</f>
        <v>3.9174511782268974E+39</v>
      </c>
      <c r="E845" s="4">
        <f>FacDevRevY1*(1+FacDevGrowth)^843</f>
        <v>1.9587255891134487E+39</v>
      </c>
      <c r="F845" s="4">
        <f t="shared" si="52"/>
        <v>5.8761767673403467E+39</v>
      </c>
      <c r="G845" s="4">
        <f t="shared" si="53"/>
        <v>5.8761767673403467E+39</v>
      </c>
      <c r="H845" s="4">
        <f>SalaryFTECount*SalaryPerFTE*(1+SalaryGrowth)^843</f>
        <v>4.8009183907996058E+19</v>
      </c>
      <c r="I845" s="4">
        <f>SimOpsY1*(1+SimOpsGrowth)^843</f>
        <v>4.5013950623661505E+32</v>
      </c>
      <c r="J845" s="4">
        <f>TrainDevY1*(1+TrainDevGrowth)^843</f>
        <v>2.2506975311830753E+32</v>
      </c>
      <c r="K845" s="4">
        <f>AdminY1*(1+AdminGrowth)^843</f>
        <v>4.3040213192157846E+25</v>
      </c>
      <c r="L845" s="4">
        <f t="shared" si="54"/>
        <v>6.7520930239518377E+32</v>
      </c>
      <c r="M845" s="4">
        <f t="shared" si="55"/>
        <v>5.8761760921310448E+39</v>
      </c>
    </row>
    <row r="846" spans="1:13" x14ac:dyDescent="0.2">
      <c r="A846" s="3">
        <f>StartYear+844</f>
        <v>2869</v>
      </c>
      <c r="B846" s="4">
        <f>FacultyFTE*HoursPerWeek*WeeksPerYear*RatePerHour*(1+PracticeGrowth)^844</f>
        <v>2.2037427816853584E+23</v>
      </c>
      <c r="C846" s="4">
        <f>StudentsY1*(1+StudentGrowth)^844*CreditsPerStudent*TuitionPerCredit</f>
        <v>1.3773392385533493E+24</v>
      </c>
      <c r="D846" s="4">
        <f>SimRevY1*(1+SimGrowth)^844</f>
        <v>4.3091962960495878E+39</v>
      </c>
      <c r="E846" s="4">
        <f>FacDevRevY1*(1+FacDevGrowth)^844</f>
        <v>2.1545981480247939E+39</v>
      </c>
      <c r="F846" s="4">
        <f t="shared" si="52"/>
        <v>6.4637944440743829E+39</v>
      </c>
      <c r="G846" s="4">
        <f t="shared" si="53"/>
        <v>6.4637944440743829E+39</v>
      </c>
      <c r="H846" s="4">
        <f>SalaryFTECount*SalaryPerFTE*(1+SalaryGrowth)^844</f>
        <v>4.9929551264315908E+19</v>
      </c>
      <c r="I846" s="4">
        <f>SimOpsY1*(1+SimOpsGrowth)^844</f>
        <v>4.8615066673554424E+32</v>
      </c>
      <c r="J846" s="4">
        <f>TrainDevY1*(1+TrainDevGrowth)^844</f>
        <v>2.4307533336777212E+32</v>
      </c>
      <c r="K846" s="4">
        <f>AdminY1*(1+AdminGrowth)^844</f>
        <v>4.5622625983687312E+25</v>
      </c>
      <c r="L846" s="4">
        <f t="shared" si="54"/>
        <v>7.2922604572599219E+32</v>
      </c>
      <c r="M846" s="4">
        <f t="shared" si="55"/>
        <v>6.4637937148483374E+39</v>
      </c>
    </row>
    <row r="847" spans="1:13" x14ac:dyDescent="0.2">
      <c r="A847" s="3">
        <f>StartYear+845</f>
        <v>2870</v>
      </c>
      <c r="B847" s="4">
        <f>FacultyFTE*HoursPerWeek*WeeksPerYear*RatePerHour*(1+PracticeGrowth)^845</f>
        <v>2.3139299207696272E+23</v>
      </c>
      <c r="C847" s="4">
        <f>StudentsY1*(1+StudentGrowth)^845*CreditsPerStudent*TuitionPerCredit</f>
        <v>1.4462062004810171E+24</v>
      </c>
      <c r="D847" s="4">
        <f>SimRevY1*(1+SimGrowth)^845</f>
        <v>4.740115925654547E+39</v>
      </c>
      <c r="E847" s="4">
        <f>FacDevRevY1*(1+FacDevGrowth)^845</f>
        <v>2.3700579628272735E+39</v>
      </c>
      <c r="F847" s="4">
        <f t="shared" si="52"/>
        <v>7.1101738884818218E+39</v>
      </c>
      <c r="G847" s="4">
        <f t="shared" si="53"/>
        <v>7.1101738884818218E+39</v>
      </c>
      <c r="H847" s="4">
        <f>SalaryFTECount*SalaryPerFTE*(1+SalaryGrowth)^845</f>
        <v>5.1926733314888548E+19</v>
      </c>
      <c r="I847" s="4">
        <f>SimOpsY1*(1+SimOpsGrowth)^845</f>
        <v>5.2504272007438782E+32</v>
      </c>
      <c r="J847" s="4">
        <f>TrainDevY1*(1+TrainDevGrowth)^845</f>
        <v>2.6252136003719391E+32</v>
      </c>
      <c r="K847" s="4">
        <f>AdminY1*(1+AdminGrowth)^845</f>
        <v>4.8359983542708567E+25</v>
      </c>
      <c r="L847" s="4">
        <f t="shared" si="54"/>
        <v>7.8756412847161723E+32</v>
      </c>
      <c r="M847" s="4">
        <f t="shared" si="55"/>
        <v>7.1101731009176935E+39</v>
      </c>
    </row>
    <row r="848" spans="1:13" x14ac:dyDescent="0.2">
      <c r="A848" s="3">
        <f>StartYear+846</f>
        <v>2871</v>
      </c>
      <c r="B848" s="4">
        <f>FacultyFTE*HoursPerWeek*WeeksPerYear*RatePerHour*(1+PracticeGrowth)^846</f>
        <v>2.4296264168081077E+23</v>
      </c>
      <c r="C848" s="4">
        <f>StudentsY1*(1+StudentGrowth)^846*CreditsPerStudent*TuitionPerCredit</f>
        <v>1.5185165105050672E+24</v>
      </c>
      <c r="D848" s="4">
        <f>SimRevY1*(1+SimGrowth)^846</f>
        <v>5.2141275182200029E+39</v>
      </c>
      <c r="E848" s="4">
        <f>FacDevRevY1*(1+FacDevGrowth)^846</f>
        <v>2.6070637591100015E+39</v>
      </c>
      <c r="F848" s="4">
        <f t="shared" si="52"/>
        <v>7.8211912773300068E+39</v>
      </c>
      <c r="G848" s="4">
        <f t="shared" si="53"/>
        <v>7.8211912773300068E+39</v>
      </c>
      <c r="H848" s="4">
        <f>SalaryFTECount*SalaryPerFTE*(1+SalaryGrowth)^846</f>
        <v>5.4003802647484097E+19</v>
      </c>
      <c r="I848" s="4">
        <f>SimOpsY1*(1+SimOpsGrowth)^846</f>
        <v>5.6704613768033897E+32</v>
      </c>
      <c r="J848" s="4">
        <f>TrainDevY1*(1+TrainDevGrowth)^846</f>
        <v>2.8352306884016949E+32</v>
      </c>
      <c r="K848" s="4">
        <f>AdminY1*(1+AdminGrowth)^846</f>
        <v>5.1261582555271069E+25</v>
      </c>
      <c r="L848" s="4">
        <f t="shared" si="54"/>
        <v>8.5056925778214503E+32</v>
      </c>
      <c r="M848" s="4">
        <f t="shared" si="55"/>
        <v>7.8211904267607486E+39</v>
      </c>
    </row>
    <row r="849" spans="1:13" x14ac:dyDescent="0.2">
      <c r="A849" s="3">
        <f>StartYear+847</f>
        <v>2872</v>
      </c>
      <c r="B849" s="4">
        <f>FacultyFTE*HoursPerWeek*WeeksPerYear*RatePerHour*(1+PracticeGrowth)^847</f>
        <v>2.5511077376485137E+23</v>
      </c>
      <c r="C849" s="4">
        <f>StudentsY1*(1+StudentGrowth)^847*CreditsPerStudent*TuitionPerCredit</f>
        <v>1.5944423360303213E+24</v>
      </c>
      <c r="D849" s="4">
        <f>SimRevY1*(1+SimGrowth)^847</f>
        <v>5.735540270042002E+39</v>
      </c>
      <c r="E849" s="4">
        <f>FacDevRevY1*(1+FacDevGrowth)^847</f>
        <v>2.867770135021001E+39</v>
      </c>
      <c r="F849" s="4">
        <f t="shared" si="52"/>
        <v>8.6033104050630036E+39</v>
      </c>
      <c r="G849" s="4">
        <f t="shared" si="53"/>
        <v>8.6033104050630036E+39</v>
      </c>
      <c r="H849" s="4">
        <f>SalaryFTECount*SalaryPerFTE*(1+SalaryGrowth)^847</f>
        <v>5.6163954753383457E+19</v>
      </c>
      <c r="I849" s="4">
        <f>SimOpsY1*(1+SimOpsGrowth)^847</f>
        <v>6.1240982869476617E+32</v>
      </c>
      <c r="J849" s="4">
        <f>TrainDevY1*(1+TrainDevGrowth)^847</f>
        <v>3.0620491434738308E+32</v>
      </c>
      <c r="K849" s="4">
        <f>AdminY1*(1+AdminGrowth)^847</f>
        <v>5.4337277508587358E+25</v>
      </c>
      <c r="L849" s="4">
        <f t="shared" si="54"/>
        <v>9.1861479737948295E+32</v>
      </c>
      <c r="M849" s="4">
        <f t="shared" si="55"/>
        <v>8.603309486448206E+39</v>
      </c>
    </row>
    <row r="850" spans="1:13" x14ac:dyDescent="0.2">
      <c r="A850" s="3">
        <f>StartYear+848</f>
        <v>2873</v>
      </c>
      <c r="B850" s="4">
        <f>FacultyFTE*HoursPerWeek*WeeksPerYear*RatePerHour*(1+PracticeGrowth)^848</f>
        <v>2.6786631245309397E+23</v>
      </c>
      <c r="C850" s="4">
        <f>StudentsY1*(1+StudentGrowth)^848*CreditsPerStudent*TuitionPerCredit</f>
        <v>1.6741644528318372E+24</v>
      </c>
      <c r="D850" s="4">
        <f>SimRevY1*(1+SimGrowth)^848</f>
        <v>6.3090942970462033E+39</v>
      </c>
      <c r="E850" s="4">
        <f>FacDevRevY1*(1+FacDevGrowth)^848</f>
        <v>3.1545471485231017E+39</v>
      </c>
      <c r="F850" s="4">
        <f t="shared" si="52"/>
        <v>9.4636414455693062E+39</v>
      </c>
      <c r="G850" s="4">
        <f t="shared" si="53"/>
        <v>9.4636414455693062E+39</v>
      </c>
      <c r="H850" s="4">
        <f>SalaryFTECount*SalaryPerFTE*(1+SalaryGrowth)^848</f>
        <v>5.841051294351881E+19</v>
      </c>
      <c r="I850" s="4">
        <f>SimOpsY1*(1+SimOpsGrowth)^848</f>
        <v>6.6140261499034737E+32</v>
      </c>
      <c r="J850" s="4">
        <f>TrainDevY1*(1+TrainDevGrowth)^848</f>
        <v>3.3070130749517369E+32</v>
      </c>
      <c r="K850" s="4">
        <f>AdminY1*(1+AdminGrowth)^848</f>
        <v>5.7597514159102583E+25</v>
      </c>
      <c r="L850" s="4">
        <f t="shared" si="54"/>
        <v>9.9210398008309353E+32</v>
      </c>
      <c r="M850" s="4">
        <f t="shared" si="55"/>
        <v>9.4636404534653261E+39</v>
      </c>
    </row>
    <row r="851" spans="1:13" x14ac:dyDescent="0.2">
      <c r="A851" s="3">
        <f>StartYear+849</f>
        <v>2874</v>
      </c>
      <c r="B851" s="4">
        <f>FacultyFTE*HoursPerWeek*WeeksPerYear*RatePerHour*(1+PracticeGrowth)^849</f>
        <v>2.8125962807574868E+23</v>
      </c>
      <c r="C851" s="4">
        <f>StudentsY1*(1+StudentGrowth)^849*CreditsPerStudent*TuitionPerCredit</f>
        <v>1.7578726754734291E+24</v>
      </c>
      <c r="D851" s="4">
        <f>SimRevY1*(1+SimGrowth)^849</f>
        <v>6.9400037267508222E+39</v>
      </c>
      <c r="E851" s="4">
        <f>FacDevRevY1*(1+FacDevGrowth)^849</f>
        <v>3.4700018633754111E+39</v>
      </c>
      <c r="F851" s="4">
        <f t="shared" si="52"/>
        <v>1.0410005590126235E+40</v>
      </c>
      <c r="G851" s="4">
        <f t="shared" si="53"/>
        <v>1.0410005590126235E+40</v>
      </c>
      <c r="H851" s="4">
        <f>SalaryFTECount*SalaryPerFTE*(1+SalaryGrowth)^849</f>
        <v>6.0746933461259551E+19</v>
      </c>
      <c r="I851" s="4">
        <f>SimOpsY1*(1+SimOpsGrowth)^849</f>
        <v>7.1431482418957521E+32</v>
      </c>
      <c r="J851" s="4">
        <f>TrainDevY1*(1+TrainDevGrowth)^849</f>
        <v>3.571574120947876E+32</v>
      </c>
      <c r="K851" s="4">
        <f>AdminY1*(1+AdminGrowth)^849</f>
        <v>6.1053365008648741E+25</v>
      </c>
      <c r="L851" s="4">
        <f t="shared" si="54"/>
        <v>1.0714722973377885E+33</v>
      </c>
      <c r="M851" s="4">
        <f t="shared" si="55"/>
        <v>1.0410004518653937E+40</v>
      </c>
    </row>
    <row r="852" spans="1:13" x14ac:dyDescent="0.2">
      <c r="A852" s="3">
        <f>StartYear+850</f>
        <v>2875</v>
      </c>
      <c r="B852" s="4">
        <f>FacultyFTE*HoursPerWeek*WeeksPerYear*RatePerHour*(1+PracticeGrowth)^850</f>
        <v>2.9532260947953611E+23</v>
      </c>
      <c r="C852" s="4">
        <f>StudentsY1*(1+StudentGrowth)^850*CreditsPerStudent*TuitionPerCredit</f>
        <v>1.8457663092471009E+24</v>
      </c>
      <c r="D852" s="4">
        <f>SimRevY1*(1+SimGrowth)^850</f>
        <v>7.6340040994259056E+39</v>
      </c>
      <c r="E852" s="4">
        <f>FacDevRevY1*(1+FacDevGrowth)^850</f>
        <v>3.8170020497129528E+39</v>
      </c>
      <c r="F852" s="4">
        <f t="shared" si="52"/>
        <v>1.1451006149138861E+40</v>
      </c>
      <c r="G852" s="4">
        <f t="shared" si="53"/>
        <v>1.1451006149138861E+40</v>
      </c>
      <c r="H852" s="4">
        <f>SalaryFTECount*SalaryPerFTE*(1+SalaryGrowth)^850</f>
        <v>6.3176810799709954E+19</v>
      </c>
      <c r="I852" s="4">
        <f>SimOpsY1*(1+SimOpsGrowth)^850</f>
        <v>7.7146001012474129E+32</v>
      </c>
      <c r="J852" s="4">
        <f>TrainDevY1*(1+TrainDevGrowth)^850</f>
        <v>3.8573000506237064E+32</v>
      </c>
      <c r="K852" s="4">
        <f>AdminY1*(1+AdminGrowth)^850</f>
        <v>6.4716566909167667E+25</v>
      </c>
      <c r="L852" s="4">
        <f t="shared" si="54"/>
        <v>1.157190079903742E+33</v>
      </c>
      <c r="M852" s="4">
        <f t="shared" si="55"/>
        <v>1.1451004991948781E+40</v>
      </c>
    </row>
    <row r="853" spans="1:13" x14ac:dyDescent="0.2">
      <c r="A853" s="3">
        <f>StartYear+851</f>
        <v>2876</v>
      </c>
      <c r="B853" s="4">
        <f>FacultyFTE*HoursPerWeek*WeeksPerYear*RatePerHour*(1+PracticeGrowth)^851</f>
        <v>3.1008873995351292E+23</v>
      </c>
      <c r="C853" s="4">
        <f>StudentsY1*(1+StudentGrowth)^851*CreditsPerStudent*TuitionPerCredit</f>
        <v>1.9380546247094557E+24</v>
      </c>
      <c r="D853" s="4">
        <f>SimRevY1*(1+SimGrowth)^851</f>
        <v>8.3974045093685004E+39</v>
      </c>
      <c r="E853" s="4">
        <f>FacDevRevY1*(1+FacDevGrowth)^851</f>
        <v>4.1987022546842502E+39</v>
      </c>
      <c r="F853" s="4">
        <f t="shared" si="52"/>
        <v>1.2596106764052754E+40</v>
      </c>
      <c r="G853" s="4">
        <f t="shared" si="53"/>
        <v>1.2596106764052754E+40</v>
      </c>
      <c r="H853" s="4">
        <f>SalaryFTECount*SalaryPerFTE*(1+SalaryGrowth)^851</f>
        <v>6.5703883231698338E+19</v>
      </c>
      <c r="I853" s="4">
        <f>SimOpsY1*(1+SimOpsGrowth)^851</f>
        <v>8.3317681093472072E+32</v>
      </c>
      <c r="J853" s="4">
        <f>TrainDevY1*(1+TrainDevGrowth)^851</f>
        <v>4.1658840546736036E+32</v>
      </c>
      <c r="K853" s="4">
        <f>AdminY1*(1+AdminGrowth)^851</f>
        <v>6.8599560923717728E+25</v>
      </c>
      <c r="L853" s="4">
        <f t="shared" si="54"/>
        <v>1.2497652850017076E+33</v>
      </c>
      <c r="M853" s="4">
        <f t="shared" si="55"/>
        <v>1.2596105514287469E+40</v>
      </c>
    </row>
    <row r="854" spans="1:13" x14ac:dyDescent="0.2">
      <c r="A854" s="3">
        <f>StartYear+852</f>
        <v>2877</v>
      </c>
      <c r="B854" s="4">
        <f>FacultyFTE*HoursPerWeek*WeeksPerYear*RatePerHour*(1+PracticeGrowth)^852</f>
        <v>3.2559317695118855E+23</v>
      </c>
      <c r="C854" s="4">
        <f>StudentsY1*(1+StudentGrowth)^852*CreditsPerStudent*TuitionPerCredit</f>
        <v>2.0349573559449285E+24</v>
      </c>
      <c r="D854" s="4">
        <f>SimRevY1*(1+SimGrowth)^852</f>
        <v>9.2371449603053489E+39</v>
      </c>
      <c r="E854" s="4">
        <f>FacDevRevY1*(1+FacDevGrowth)^852</f>
        <v>4.6185724801526744E+39</v>
      </c>
      <c r="F854" s="4">
        <f t="shared" si="52"/>
        <v>1.3855717440458025E+40</v>
      </c>
      <c r="G854" s="4">
        <f t="shared" si="53"/>
        <v>1.3855717440458025E+40</v>
      </c>
      <c r="H854" s="4">
        <f>SalaryFTECount*SalaryPerFTE*(1+SalaryGrowth)^852</f>
        <v>6.8332038560966279E+19</v>
      </c>
      <c r="I854" s="4">
        <f>SimOpsY1*(1+SimOpsGrowth)^852</f>
        <v>8.9983095580949839E+32</v>
      </c>
      <c r="J854" s="4">
        <f>TrainDevY1*(1+TrainDevGrowth)^852</f>
        <v>4.499154779047492E+32</v>
      </c>
      <c r="K854" s="4">
        <f>AdminY1*(1+AdminGrowth)^852</f>
        <v>7.2715534579140789E+25</v>
      </c>
      <c r="L854" s="4">
        <f t="shared" si="54"/>
        <v>1.3497465064298505E+33</v>
      </c>
      <c r="M854" s="4">
        <f t="shared" si="55"/>
        <v>1.3855716090711519E+40</v>
      </c>
    </row>
    <row r="855" spans="1:13" x14ac:dyDescent="0.2">
      <c r="A855" s="3">
        <f>StartYear+853</f>
        <v>2878</v>
      </c>
      <c r="B855" s="4">
        <f>FacultyFTE*HoursPerWeek*WeeksPerYear*RatePerHour*(1+PracticeGrowth)^853</f>
        <v>3.4187283579874797E+23</v>
      </c>
      <c r="C855" s="4">
        <f>StudentsY1*(1+StudentGrowth)^853*CreditsPerStudent*TuitionPerCredit</f>
        <v>2.1367052237421747E+24</v>
      </c>
      <c r="D855" s="4">
        <f>SimRevY1*(1+SimGrowth)^853</f>
        <v>1.0160859456335885E+40</v>
      </c>
      <c r="E855" s="4">
        <f>FacDevRevY1*(1+FacDevGrowth)^853</f>
        <v>5.0804297281679424E+39</v>
      </c>
      <c r="F855" s="4">
        <f t="shared" si="52"/>
        <v>1.524128918450383E+40</v>
      </c>
      <c r="G855" s="4">
        <f t="shared" si="53"/>
        <v>1.524128918450383E+40</v>
      </c>
      <c r="H855" s="4">
        <f>SalaryFTECount*SalaryPerFTE*(1+SalaryGrowth)^853</f>
        <v>7.1065320103404937E+19</v>
      </c>
      <c r="I855" s="4">
        <f>SimOpsY1*(1+SimOpsGrowth)^853</f>
        <v>9.7181743227425834E+32</v>
      </c>
      <c r="J855" s="4">
        <f>TrainDevY1*(1+TrainDevGrowth)^853</f>
        <v>4.8590871613712917E+32</v>
      </c>
      <c r="K855" s="4">
        <f>AdminY1*(1+AdminGrowth)^853</f>
        <v>7.7078466653889255E+25</v>
      </c>
      <c r="L855" s="4">
        <f t="shared" si="54"/>
        <v>1.4577262254899252E+33</v>
      </c>
      <c r="M855" s="4">
        <f t="shared" si="55"/>
        <v>1.5241287726777605E+40</v>
      </c>
    </row>
    <row r="856" spans="1:13" x14ac:dyDescent="0.2">
      <c r="A856" s="3">
        <f>StartYear+854</f>
        <v>2879</v>
      </c>
      <c r="B856" s="4">
        <f>FacultyFTE*HoursPerWeek*WeeksPerYear*RatePerHour*(1+PracticeGrowth)^854</f>
        <v>3.5896647758868531E+23</v>
      </c>
      <c r="C856" s="4">
        <f>StudentsY1*(1+StudentGrowth)^854*CreditsPerStudent*TuitionPerCredit</f>
        <v>2.2435404849292835E+24</v>
      </c>
      <c r="D856" s="4">
        <f>SimRevY1*(1+SimGrowth)^854</f>
        <v>1.1176945401969474E+40</v>
      </c>
      <c r="E856" s="4">
        <f>FacDevRevY1*(1+FacDevGrowth)^854</f>
        <v>5.5884727009847372E+39</v>
      </c>
      <c r="F856" s="4">
        <f t="shared" si="52"/>
        <v>1.6765418102954214E+40</v>
      </c>
      <c r="G856" s="4">
        <f t="shared" si="53"/>
        <v>1.6765418102954214E+40</v>
      </c>
      <c r="H856" s="4">
        <f>SalaryFTECount*SalaryPerFTE*(1+SalaryGrowth)^854</f>
        <v>7.3907932907541135E+19</v>
      </c>
      <c r="I856" s="4">
        <f>SimOpsY1*(1+SimOpsGrowth)^854</f>
        <v>1.049562826856199E+33</v>
      </c>
      <c r="J856" s="4">
        <f>TrainDevY1*(1+TrainDevGrowth)^854</f>
        <v>5.2478141342809949E+32</v>
      </c>
      <c r="K856" s="4">
        <f>AdminY1*(1+AdminGrowth)^854</f>
        <v>8.1703174653122628E+25</v>
      </c>
      <c r="L856" s="4">
        <f t="shared" si="54"/>
        <v>1.5743443219875469E+33</v>
      </c>
      <c r="M856" s="4">
        <f t="shared" si="55"/>
        <v>1.6765416528609893E+40</v>
      </c>
    </row>
    <row r="857" spans="1:13" x14ac:dyDescent="0.2">
      <c r="A857" s="3">
        <f>StartYear+855</f>
        <v>2880</v>
      </c>
      <c r="B857" s="4">
        <f>FacultyFTE*HoursPerWeek*WeeksPerYear*RatePerHour*(1+PracticeGrowth)^855</f>
        <v>3.7691480146811971E+23</v>
      </c>
      <c r="C857" s="4">
        <f>StudentsY1*(1+StudentGrowth)^855*CreditsPerStudent*TuitionPerCredit</f>
        <v>2.355717509175748E+24</v>
      </c>
      <c r="D857" s="4">
        <f>SimRevY1*(1+SimGrowth)^855</f>
        <v>1.229463994216642E+40</v>
      </c>
      <c r="E857" s="4">
        <f>FacDevRevY1*(1+FacDevGrowth)^855</f>
        <v>6.14731997108321E+39</v>
      </c>
      <c r="F857" s="4">
        <f t="shared" si="52"/>
        <v>1.8441959913249632E+40</v>
      </c>
      <c r="G857" s="4">
        <f t="shared" si="53"/>
        <v>1.8441959913249632E+40</v>
      </c>
      <c r="H857" s="4">
        <f>SalaryFTECount*SalaryPerFTE*(1+SalaryGrowth)^855</f>
        <v>7.6864250223842771E+19</v>
      </c>
      <c r="I857" s="4">
        <f>SimOpsY1*(1+SimOpsGrowth)^855</f>
        <v>1.1335278530046949E+33</v>
      </c>
      <c r="J857" s="4">
        <f>TrainDevY1*(1+TrainDevGrowth)^855</f>
        <v>5.6676392650234743E+32</v>
      </c>
      <c r="K857" s="4">
        <f>AdminY1*(1+AdminGrowth)^855</f>
        <v>8.6605365132309986E+25</v>
      </c>
      <c r="L857" s="4">
        <f t="shared" si="54"/>
        <v>1.7002918661124842E+33</v>
      </c>
      <c r="M857" s="4">
        <f t="shared" si="55"/>
        <v>1.8441958212957765E+40</v>
      </c>
    </row>
    <row r="858" spans="1:13" x14ac:dyDescent="0.2">
      <c r="A858" s="3">
        <f>StartYear+856</f>
        <v>2881</v>
      </c>
      <c r="B858" s="4">
        <f>FacultyFTE*HoursPerWeek*WeeksPerYear*RatePerHour*(1+PracticeGrowth)^856</f>
        <v>3.9576054154152563E+23</v>
      </c>
      <c r="C858" s="4">
        <f>StudentsY1*(1+StudentGrowth)^856*CreditsPerStudent*TuitionPerCredit</f>
        <v>2.4735033846345351E+24</v>
      </c>
      <c r="D858" s="4">
        <f>SimRevY1*(1+SimGrowth)^856</f>
        <v>1.3524103936383062E+40</v>
      </c>
      <c r="E858" s="4">
        <f>FacDevRevY1*(1+FacDevGrowth)^856</f>
        <v>6.762051968191531E+39</v>
      </c>
      <c r="F858" s="4">
        <f t="shared" si="52"/>
        <v>2.0286155904574594E+40</v>
      </c>
      <c r="G858" s="4">
        <f t="shared" si="53"/>
        <v>2.0286155904574594E+40</v>
      </c>
      <c r="H858" s="4">
        <f>SalaryFTECount*SalaryPerFTE*(1+SalaryGrowth)^856</f>
        <v>7.9938820232796488E+19</v>
      </c>
      <c r="I858" s="4">
        <f>SimOpsY1*(1+SimOpsGrowth)^856</f>
        <v>1.2242100812450706E+33</v>
      </c>
      <c r="J858" s="4">
        <f>TrainDevY1*(1+TrainDevGrowth)^856</f>
        <v>6.1210504062253529E+32</v>
      </c>
      <c r="K858" s="4">
        <f>AdminY1*(1+AdminGrowth)^856</f>
        <v>9.1801687040248568E+25</v>
      </c>
      <c r="L858" s="4">
        <f t="shared" si="54"/>
        <v>1.8363152136693727E+33</v>
      </c>
      <c r="M858" s="4">
        <f t="shared" si="55"/>
        <v>2.028615406825938E+40</v>
      </c>
    </row>
    <row r="859" spans="1:13" x14ac:dyDescent="0.2">
      <c r="A859" s="3">
        <f>StartYear+857</f>
        <v>2882</v>
      </c>
      <c r="B859" s="4">
        <f>FacultyFTE*HoursPerWeek*WeeksPerYear*RatePerHour*(1+PracticeGrowth)^857</f>
        <v>4.1554856861860193E+23</v>
      </c>
      <c r="C859" s="4">
        <f>StudentsY1*(1+StudentGrowth)^857*CreditsPerStudent*TuitionPerCredit</f>
        <v>2.5971785538662621E+24</v>
      </c>
      <c r="D859" s="4">
        <f>SimRevY1*(1+SimGrowth)^857</f>
        <v>1.4876514330021374E+40</v>
      </c>
      <c r="E859" s="4">
        <f>FacDevRevY1*(1+FacDevGrowth)^857</f>
        <v>7.4382571650106868E+39</v>
      </c>
      <c r="F859" s="4">
        <f t="shared" si="52"/>
        <v>2.2314771495032064E+40</v>
      </c>
      <c r="G859" s="4">
        <f t="shared" si="53"/>
        <v>2.2314771495032064E+40</v>
      </c>
      <c r="H859" s="4">
        <f>SalaryFTECount*SalaryPerFTE*(1+SalaryGrowth)^857</f>
        <v>8.3136373042108367E+19</v>
      </c>
      <c r="I859" s="4">
        <f>SimOpsY1*(1+SimOpsGrowth)^857</f>
        <v>1.3221468877446764E+33</v>
      </c>
      <c r="J859" s="4">
        <f>TrainDevY1*(1+TrainDevGrowth)^857</f>
        <v>6.6107344387233822E+32</v>
      </c>
      <c r="K859" s="4">
        <f>AdminY1*(1+AdminGrowth)^857</f>
        <v>9.7309788262663471E+25</v>
      </c>
      <c r="L859" s="4">
        <f t="shared" si="54"/>
        <v>1.983220428926886E+33</v>
      </c>
      <c r="M859" s="4">
        <f t="shared" si="55"/>
        <v>2.2314769511811637E+40</v>
      </c>
    </row>
    <row r="860" spans="1:13" x14ac:dyDescent="0.2">
      <c r="A860" s="3">
        <f>StartYear+858</f>
        <v>2883</v>
      </c>
      <c r="B860" s="4">
        <f>FacultyFTE*HoursPerWeek*WeeksPerYear*RatePerHour*(1+PracticeGrowth)^858</f>
        <v>4.3632599704953199E+23</v>
      </c>
      <c r="C860" s="4">
        <f>StudentsY1*(1+StudentGrowth)^858*CreditsPerStudent*TuitionPerCredit</f>
        <v>2.7270374815595751E+24</v>
      </c>
      <c r="D860" s="4">
        <f>SimRevY1*(1+SimGrowth)^858</f>
        <v>1.6364165763023509E+40</v>
      </c>
      <c r="E860" s="4">
        <f>FacDevRevY1*(1+FacDevGrowth)^858</f>
        <v>8.1820828815117547E+39</v>
      </c>
      <c r="F860" s="4">
        <f t="shared" si="52"/>
        <v>2.4546248644535268E+40</v>
      </c>
      <c r="G860" s="4">
        <f t="shared" si="53"/>
        <v>2.4546248644535268E+40</v>
      </c>
      <c r="H860" s="4">
        <f>SalaryFTECount*SalaryPerFTE*(1+SalaryGrowth)^858</f>
        <v>8.6461827963792703E+19</v>
      </c>
      <c r="I860" s="4">
        <f>SimOpsY1*(1+SimOpsGrowth)^858</f>
        <v>1.4279186387642506E+33</v>
      </c>
      <c r="J860" s="4">
        <f>TrainDevY1*(1+TrainDevGrowth)^858</f>
        <v>7.1395931938212528E+32</v>
      </c>
      <c r="K860" s="4">
        <f>AdminY1*(1+AdminGrowth)^858</f>
        <v>1.0314837555842332E+26</v>
      </c>
      <c r="L860" s="4">
        <f t="shared" si="54"/>
        <v>2.1418780612948377E+33</v>
      </c>
      <c r="M860" s="4">
        <f t="shared" si="55"/>
        <v>2.4546246502657205E+40</v>
      </c>
    </row>
    <row r="861" spans="1:13" x14ac:dyDescent="0.2">
      <c r="A861" s="3">
        <f>StartYear+859</f>
        <v>2884</v>
      </c>
      <c r="B861" s="4">
        <f>FacultyFTE*HoursPerWeek*WeeksPerYear*RatePerHour*(1+PracticeGrowth)^859</f>
        <v>4.5814229690200874E+23</v>
      </c>
      <c r="C861" s="4">
        <f>StudentsY1*(1+StudentGrowth)^859*CreditsPerStudent*TuitionPerCredit</f>
        <v>2.8633893556375547E+24</v>
      </c>
      <c r="D861" s="4">
        <f>SimRevY1*(1+SimGrowth)^859</f>
        <v>1.8000582339325864E+40</v>
      </c>
      <c r="E861" s="4">
        <f>FacDevRevY1*(1+FacDevGrowth)^859</f>
        <v>9.000291169662932E+39</v>
      </c>
      <c r="F861" s="4">
        <f t="shared" si="52"/>
        <v>2.7000873508988798E+40</v>
      </c>
      <c r="G861" s="4">
        <f t="shared" si="53"/>
        <v>2.7000873508988798E+40</v>
      </c>
      <c r="H861" s="4">
        <f>SalaryFTECount*SalaryPerFTE*(1+SalaryGrowth)^859</f>
        <v>8.9920301082344407E+19</v>
      </c>
      <c r="I861" s="4">
        <f>SimOpsY1*(1+SimOpsGrowth)^859</f>
        <v>1.5421521298653904E+33</v>
      </c>
      <c r="J861" s="4">
        <f>TrainDevY1*(1+TrainDevGrowth)^859</f>
        <v>7.7107606493269521E+32</v>
      </c>
      <c r="K861" s="4">
        <f>AdminY1*(1+AdminGrowth)^859</f>
        <v>1.0933727809192871E+26</v>
      </c>
      <c r="L861" s="4">
        <f t="shared" si="54"/>
        <v>2.3132283041354537E+33</v>
      </c>
      <c r="M861" s="4">
        <f t="shared" si="55"/>
        <v>2.7000871195760496E+40</v>
      </c>
    </row>
    <row r="862" spans="1:13" x14ac:dyDescent="0.2">
      <c r="A862" s="3">
        <f>StartYear+860</f>
        <v>2885</v>
      </c>
      <c r="B862" s="4">
        <f>FacultyFTE*HoursPerWeek*WeeksPerYear*RatePerHour*(1+PracticeGrowth)^860</f>
        <v>4.8104941174710903E+23</v>
      </c>
      <c r="C862" s="4">
        <f>StudentsY1*(1+StudentGrowth)^860*CreditsPerStudent*TuitionPerCredit</f>
        <v>3.0065588234194317E+24</v>
      </c>
      <c r="D862" s="4">
        <f>SimRevY1*(1+SimGrowth)^860</f>
        <v>1.980064057325845E+40</v>
      </c>
      <c r="E862" s="4">
        <f>FacDevRevY1*(1+FacDevGrowth)^860</f>
        <v>9.9003202866292252E+39</v>
      </c>
      <c r="F862" s="4">
        <f t="shared" si="52"/>
        <v>2.9700960859887677E+40</v>
      </c>
      <c r="G862" s="4">
        <f t="shared" si="53"/>
        <v>2.9700960859887677E+40</v>
      </c>
      <c r="H862" s="4">
        <f>SalaryFTECount*SalaryPerFTE*(1+SalaryGrowth)^860</f>
        <v>9.351711312563821E+19</v>
      </c>
      <c r="I862" s="4">
        <f>SimOpsY1*(1+SimOpsGrowth)^860</f>
        <v>1.6655243002546216E+33</v>
      </c>
      <c r="J862" s="4">
        <f>TrainDevY1*(1+TrainDevGrowth)^860</f>
        <v>8.3276215012731079E+32</v>
      </c>
      <c r="K862" s="4">
        <f>AdminY1*(1+AdminGrowth)^860</f>
        <v>1.1589751477744444E+26</v>
      </c>
      <c r="L862" s="4">
        <f t="shared" si="54"/>
        <v>2.4982865662795406E+33</v>
      </c>
      <c r="M862" s="4">
        <f t="shared" si="55"/>
        <v>2.9700958361601111E+40</v>
      </c>
    </row>
    <row r="863" spans="1:13" x14ac:dyDescent="0.2">
      <c r="A863" s="3">
        <f>StartYear+861</f>
        <v>2886</v>
      </c>
      <c r="B863" s="4">
        <f>FacultyFTE*HoursPerWeek*WeeksPerYear*RatePerHour*(1+PracticeGrowth)^861</f>
        <v>5.0510188233446461E+23</v>
      </c>
      <c r="C863" s="4">
        <f>StudentsY1*(1+StudentGrowth)^861*CreditsPerStudent*TuitionPerCredit</f>
        <v>3.1568867645904039E+24</v>
      </c>
      <c r="D863" s="4">
        <f>SimRevY1*(1+SimGrowth)^861</f>
        <v>2.1780704630584296E+40</v>
      </c>
      <c r="E863" s="4">
        <f>FacDevRevY1*(1+FacDevGrowth)^861</f>
        <v>1.0890352315292148E+40</v>
      </c>
      <c r="F863" s="4">
        <f t="shared" si="52"/>
        <v>3.2671056945876446E+40</v>
      </c>
      <c r="G863" s="4">
        <f t="shared" si="53"/>
        <v>3.2671056945876446E+40</v>
      </c>
      <c r="H863" s="4">
        <f>SalaryFTECount*SalaryPerFTE*(1+SalaryGrowth)^861</f>
        <v>9.7257797650663735E+19</v>
      </c>
      <c r="I863" s="4">
        <f>SimOpsY1*(1+SimOpsGrowth)^861</f>
        <v>1.7987662442749917E+33</v>
      </c>
      <c r="J863" s="4">
        <f>TrainDevY1*(1+TrainDevGrowth)^861</f>
        <v>8.9938312213749583E+32</v>
      </c>
      <c r="K863" s="4">
        <f>AdminY1*(1+AdminGrowth)^861</f>
        <v>1.2285136566409111E+26</v>
      </c>
      <c r="L863" s="4">
        <f t="shared" si="54"/>
        <v>2.6981494892639499E+33</v>
      </c>
      <c r="M863" s="4">
        <f t="shared" si="55"/>
        <v>3.2671054247726956E+40</v>
      </c>
    </row>
    <row r="864" spans="1:13" x14ac:dyDescent="0.2">
      <c r="A864" s="3">
        <f>StartYear+862</f>
        <v>2887</v>
      </c>
      <c r="B864" s="4">
        <f>FacultyFTE*HoursPerWeek*WeeksPerYear*RatePerHour*(1+PracticeGrowth)^862</f>
        <v>5.303569764511876E+23</v>
      </c>
      <c r="C864" s="4">
        <f>StudentsY1*(1+StudentGrowth)^862*CreditsPerStudent*TuitionPerCredit</f>
        <v>3.3147311028199223E+24</v>
      </c>
      <c r="D864" s="4">
        <f>SimRevY1*(1+SimGrowth)^862</f>
        <v>2.395877509364273E+40</v>
      </c>
      <c r="E864" s="4">
        <f>FacDevRevY1*(1+FacDevGrowth)^862</f>
        <v>1.1979387546821365E+40</v>
      </c>
      <c r="F864" s="4">
        <f t="shared" si="52"/>
        <v>3.5938162640464099E+40</v>
      </c>
      <c r="G864" s="4">
        <f t="shared" si="53"/>
        <v>3.5938162640464099E+40</v>
      </c>
      <c r="H864" s="4">
        <f>SalaryFTECount*SalaryPerFTE*(1+SalaryGrowth)^862</f>
        <v>1.0114810955669027E+20</v>
      </c>
      <c r="I864" s="4">
        <f>SimOpsY1*(1+SimOpsGrowth)^862</f>
        <v>1.9426675438169914E+33</v>
      </c>
      <c r="J864" s="4">
        <f>TrainDevY1*(1+TrainDevGrowth)^862</f>
        <v>9.7133377190849569E+32</v>
      </c>
      <c r="K864" s="4">
        <f>AdminY1*(1+AdminGrowth)^862</f>
        <v>1.302224476039366E+26</v>
      </c>
      <c r="L864" s="4">
        <f t="shared" si="54"/>
        <v>2.914001445948036E+33</v>
      </c>
      <c r="M864" s="4">
        <f t="shared" si="55"/>
        <v>3.5938159726462654E+40</v>
      </c>
    </row>
    <row r="865" spans="1:13" x14ac:dyDescent="0.2">
      <c r="A865" s="3">
        <f>StartYear+863</f>
        <v>2888</v>
      </c>
      <c r="B865" s="4">
        <f>FacultyFTE*HoursPerWeek*WeeksPerYear*RatePerHour*(1+PracticeGrowth)^863</f>
        <v>5.5687482527374728E+23</v>
      </c>
      <c r="C865" s="4">
        <f>StudentsY1*(1+StudentGrowth)^863*CreditsPerStudent*TuitionPerCredit</f>
        <v>3.4804676579609204E+24</v>
      </c>
      <c r="D865" s="4">
        <f>SimRevY1*(1+SimGrowth)^863</f>
        <v>2.6354652603007005E+40</v>
      </c>
      <c r="E865" s="4">
        <f>FacDevRevY1*(1+FacDevGrowth)^863</f>
        <v>1.3177326301503503E+40</v>
      </c>
      <c r="F865" s="4">
        <f t="shared" si="52"/>
        <v>3.9531978904510515E+40</v>
      </c>
      <c r="G865" s="4">
        <f t="shared" si="53"/>
        <v>3.9531978904510515E+40</v>
      </c>
      <c r="H865" s="4">
        <f>SalaryFTECount*SalaryPerFTE*(1+SalaryGrowth)^863</f>
        <v>1.0519403393895788E+20</v>
      </c>
      <c r="I865" s="4">
        <f>SimOpsY1*(1+SimOpsGrowth)^863</f>
        <v>2.0980809473223507E+33</v>
      </c>
      <c r="J865" s="4">
        <f>TrainDevY1*(1+TrainDevGrowth)^863</f>
        <v>1.0490404736611753E+33</v>
      </c>
      <c r="K865" s="4">
        <f>AdminY1*(1+AdminGrowth)^863</f>
        <v>1.3803579446017283E+26</v>
      </c>
      <c r="L865" s="4">
        <f t="shared" si="54"/>
        <v>3.1471215590194255E+33</v>
      </c>
      <c r="M865" s="4">
        <f t="shared" si="55"/>
        <v>3.9531975757388955E+40</v>
      </c>
    </row>
    <row r="866" spans="1:13" x14ac:dyDescent="0.2">
      <c r="A866" s="3">
        <f>StartYear+864</f>
        <v>2889</v>
      </c>
      <c r="B866" s="4">
        <f>FacultyFTE*HoursPerWeek*WeeksPerYear*RatePerHour*(1+PracticeGrowth)^864</f>
        <v>5.8471856653743459E+23</v>
      </c>
      <c r="C866" s="4">
        <f>StudentsY1*(1+StudentGrowth)^864*CreditsPerStudent*TuitionPerCredit</f>
        <v>3.6544910408589659E+24</v>
      </c>
      <c r="D866" s="4">
        <f>SimRevY1*(1+SimGrowth)^864</f>
        <v>2.8990117863307703E+40</v>
      </c>
      <c r="E866" s="4">
        <f>FacDevRevY1*(1+FacDevGrowth)^864</f>
        <v>1.4495058931653852E+40</v>
      </c>
      <c r="F866" s="4">
        <f t="shared" si="52"/>
        <v>4.348517679496156E+40</v>
      </c>
      <c r="G866" s="4">
        <f t="shared" si="53"/>
        <v>4.348517679496156E+40</v>
      </c>
      <c r="H866" s="4">
        <f>SalaryFTECount*SalaryPerFTE*(1+SalaryGrowth)^864</f>
        <v>1.0940179529651621E+20</v>
      </c>
      <c r="I866" s="4">
        <f>SimOpsY1*(1+SimOpsGrowth)^864</f>
        <v>2.2659274231081389E+33</v>
      </c>
      <c r="J866" s="4">
        <f>TrainDevY1*(1+TrainDevGrowth)^864</f>
        <v>1.1329637115540695E+33</v>
      </c>
      <c r="K866" s="4">
        <f>AdminY1*(1+AdminGrowth)^864</f>
        <v>1.4631794212778316E+26</v>
      </c>
      <c r="L866" s="4">
        <f t="shared" si="54"/>
        <v>3.3988912809802599E+33</v>
      </c>
      <c r="M866" s="4">
        <f t="shared" si="55"/>
        <v>4.3485173396070279E+40</v>
      </c>
    </row>
    <row r="867" spans="1:13" x14ac:dyDescent="0.2">
      <c r="A867" s="3">
        <f>StartYear+865</f>
        <v>2890</v>
      </c>
      <c r="B867" s="4">
        <f>FacultyFTE*HoursPerWeek*WeeksPerYear*RatePerHour*(1+PracticeGrowth)^865</f>
        <v>6.1395449486430622E+23</v>
      </c>
      <c r="C867" s="4">
        <f>StudentsY1*(1+StudentGrowth)^865*CreditsPerStudent*TuitionPerCredit</f>
        <v>3.8372155929019141E+24</v>
      </c>
      <c r="D867" s="4">
        <f>SimRevY1*(1+SimGrowth)^865</f>
        <v>3.1889129649638482E+40</v>
      </c>
      <c r="E867" s="4">
        <f>FacDevRevY1*(1+FacDevGrowth)^865</f>
        <v>1.5944564824819241E+40</v>
      </c>
      <c r="F867" s="4">
        <f t="shared" si="52"/>
        <v>4.783369447445773E+40</v>
      </c>
      <c r="G867" s="4">
        <f t="shared" si="53"/>
        <v>4.783369447445773E+40</v>
      </c>
      <c r="H867" s="4">
        <f>SalaryFTECount*SalaryPerFTE*(1+SalaryGrowth)^865</f>
        <v>1.1377786710837685E+20</v>
      </c>
      <c r="I867" s="4">
        <f>SimOpsY1*(1+SimOpsGrowth)^865</f>
        <v>2.44720161695679E+33</v>
      </c>
      <c r="J867" s="4">
        <f>TrainDevY1*(1+TrainDevGrowth)^865</f>
        <v>1.223600808478395E+33</v>
      </c>
      <c r="K867" s="4">
        <f>AdminY1*(1+AdminGrowth)^865</f>
        <v>1.5509701865545013E+26</v>
      </c>
      <c r="L867" s="4">
        <f t="shared" si="54"/>
        <v>3.6708025805323174E+33</v>
      </c>
      <c r="M867" s="4">
        <f t="shared" si="55"/>
        <v>4.7833690803655148E+40</v>
      </c>
    </row>
    <row r="868" spans="1:13" x14ac:dyDescent="0.2">
      <c r="A868" s="3">
        <f>StartYear+866</f>
        <v>2891</v>
      </c>
      <c r="B868" s="4">
        <f>FacultyFTE*HoursPerWeek*WeeksPerYear*RatePerHour*(1+PracticeGrowth)^866</f>
        <v>6.446522196075216E+23</v>
      </c>
      <c r="C868" s="4">
        <f>StudentsY1*(1+StudentGrowth)^866*CreditsPerStudent*TuitionPerCredit</f>
        <v>4.0290763725470103E+24</v>
      </c>
      <c r="D868" s="4">
        <f>SimRevY1*(1+SimGrowth)^866</f>
        <v>3.507804261460233E+40</v>
      </c>
      <c r="E868" s="4">
        <f>FacDevRevY1*(1+FacDevGrowth)^866</f>
        <v>1.7539021307301165E+40</v>
      </c>
      <c r="F868" s="4">
        <f t="shared" si="52"/>
        <v>5.2617063921903503E+40</v>
      </c>
      <c r="G868" s="4">
        <f t="shared" si="53"/>
        <v>5.2617063921903503E+40</v>
      </c>
      <c r="H868" s="4">
        <f>SalaryFTECount*SalaryPerFTE*(1+SalaryGrowth)^866</f>
        <v>1.1832898179271195E+20</v>
      </c>
      <c r="I868" s="4">
        <f>SimOpsY1*(1+SimOpsGrowth)^866</f>
        <v>2.6429777463133331E+33</v>
      </c>
      <c r="J868" s="4">
        <f>TrainDevY1*(1+TrainDevGrowth)^866</f>
        <v>1.3214888731566665E+33</v>
      </c>
      <c r="K868" s="4">
        <f>AdminY1*(1+AdminGrowth)^866</f>
        <v>1.6440283977477717E+26</v>
      </c>
      <c r="L868" s="4">
        <f t="shared" si="54"/>
        <v>3.9644667838729575E+33</v>
      </c>
      <c r="M868" s="4">
        <f t="shared" si="55"/>
        <v>5.2617059957436717E+40</v>
      </c>
    </row>
    <row r="869" spans="1:13" x14ac:dyDescent="0.2">
      <c r="A869" s="3">
        <f>StartYear+867</f>
        <v>2892</v>
      </c>
      <c r="B869" s="4">
        <f>FacultyFTE*HoursPerWeek*WeeksPerYear*RatePerHour*(1+PracticeGrowth)^867</f>
        <v>6.7688483058789768E+23</v>
      </c>
      <c r="C869" s="4">
        <f>StudentsY1*(1+StudentGrowth)^867*CreditsPerStudent*TuitionPerCredit</f>
        <v>4.2305301911743606E+24</v>
      </c>
      <c r="D869" s="4">
        <f>SimRevY1*(1+SimGrowth)^867</f>
        <v>3.8585846876062568E+40</v>
      </c>
      <c r="E869" s="4">
        <f>FacDevRevY1*(1+FacDevGrowth)^867</f>
        <v>1.9292923438031284E+40</v>
      </c>
      <c r="F869" s="4">
        <f t="shared" si="52"/>
        <v>5.7878770314093859E+40</v>
      </c>
      <c r="G869" s="4">
        <f t="shared" si="53"/>
        <v>5.7878770314093859E+40</v>
      </c>
      <c r="H869" s="4">
        <f>SalaryFTECount*SalaryPerFTE*(1+SalaryGrowth)^867</f>
        <v>1.2306214106442041E+20</v>
      </c>
      <c r="I869" s="4">
        <f>SimOpsY1*(1+SimOpsGrowth)^867</f>
        <v>2.8544159660184003E+33</v>
      </c>
      <c r="J869" s="4">
        <f>TrainDevY1*(1+TrainDevGrowth)^867</f>
        <v>1.4272079830092001E+33</v>
      </c>
      <c r="K869" s="4">
        <f>AdminY1*(1+AdminGrowth)^867</f>
        <v>1.7426701016126383E+26</v>
      </c>
      <c r="L869" s="4">
        <f t="shared" si="54"/>
        <v>4.2816241232947339E+33</v>
      </c>
      <c r="M869" s="4">
        <f t="shared" si="55"/>
        <v>5.7878766032469737E+40</v>
      </c>
    </row>
    <row r="870" spans="1:13" x14ac:dyDescent="0.2">
      <c r="A870" s="3">
        <f>StartYear+868</f>
        <v>2893</v>
      </c>
      <c r="B870" s="4">
        <f>FacultyFTE*HoursPerWeek*WeeksPerYear*RatePerHour*(1+PracticeGrowth)^868</f>
        <v>7.1072907211729255E+23</v>
      </c>
      <c r="C870" s="4">
        <f>StudentsY1*(1+StudentGrowth)^868*CreditsPerStudent*TuitionPerCredit</f>
        <v>4.4420567007330787E+24</v>
      </c>
      <c r="D870" s="4">
        <f>SimRevY1*(1+SimGrowth)^868</f>
        <v>4.2444431563668824E+40</v>
      </c>
      <c r="E870" s="4">
        <f>FacDevRevY1*(1+FacDevGrowth)^868</f>
        <v>2.1222215781834412E+40</v>
      </c>
      <c r="F870" s="4">
        <f t="shared" si="52"/>
        <v>6.3666647345503236E+40</v>
      </c>
      <c r="G870" s="4">
        <f t="shared" si="53"/>
        <v>6.3666647345503236E+40</v>
      </c>
      <c r="H870" s="4">
        <f>SalaryFTECount*SalaryPerFTE*(1+SalaryGrowth)^868</f>
        <v>1.2798462670699723E+20</v>
      </c>
      <c r="I870" s="4">
        <f>SimOpsY1*(1+SimOpsGrowth)^868</f>
        <v>3.082769243299873E+33</v>
      </c>
      <c r="J870" s="4">
        <f>TrainDevY1*(1+TrainDevGrowth)^868</f>
        <v>1.5413846216499365E+33</v>
      </c>
      <c r="K870" s="4">
        <f>AdminY1*(1+AdminGrowth)^868</f>
        <v>1.8472303077093967E+26</v>
      </c>
      <c r="L870" s="4">
        <f t="shared" si="54"/>
        <v>4.6241540496729679E+33</v>
      </c>
      <c r="M870" s="4">
        <f t="shared" si="55"/>
        <v>6.366664272134919E+40</v>
      </c>
    </row>
    <row r="871" spans="1:13" x14ac:dyDescent="0.2">
      <c r="A871" s="3">
        <f>StartYear+869</f>
        <v>2894</v>
      </c>
      <c r="B871" s="4">
        <f>FacultyFTE*HoursPerWeek*WeeksPerYear*RatePerHour*(1+PracticeGrowth)^869</f>
        <v>7.462655257231572E+23</v>
      </c>
      <c r="C871" s="4">
        <f>StudentsY1*(1+StudentGrowth)^869*CreditsPerStudent*TuitionPerCredit</f>
        <v>4.6641595357697327E+24</v>
      </c>
      <c r="D871" s="4">
        <f>SimRevY1*(1+SimGrowth)^869</f>
        <v>4.6688874720035706E+40</v>
      </c>
      <c r="E871" s="4">
        <f>FacDevRevY1*(1+FacDevGrowth)^869</f>
        <v>2.3344437360017853E+40</v>
      </c>
      <c r="F871" s="4">
        <f t="shared" si="52"/>
        <v>7.0033312080053559E+40</v>
      </c>
      <c r="G871" s="4">
        <f t="shared" si="53"/>
        <v>7.0033312080053559E+40</v>
      </c>
      <c r="H871" s="4">
        <f>SalaryFTECount*SalaryPerFTE*(1+SalaryGrowth)^869</f>
        <v>1.3310401177527717E+20</v>
      </c>
      <c r="I871" s="4">
        <f>SimOpsY1*(1+SimOpsGrowth)^869</f>
        <v>3.3293907827638618E+33</v>
      </c>
      <c r="J871" s="4">
        <f>TrainDevY1*(1+TrainDevGrowth)^869</f>
        <v>1.6646953913819309E+33</v>
      </c>
      <c r="K871" s="4">
        <f>AdminY1*(1+AdminGrowth)^869</f>
        <v>1.9580641261719605E+26</v>
      </c>
      <c r="L871" s="4">
        <f t="shared" si="54"/>
        <v>4.9940863699523384E+33</v>
      </c>
      <c r="M871" s="4">
        <f t="shared" si="55"/>
        <v>7.0033307085967188E+40</v>
      </c>
    </row>
    <row r="872" spans="1:13" x14ac:dyDescent="0.2">
      <c r="A872" s="3">
        <f>StartYear+870</f>
        <v>2895</v>
      </c>
      <c r="B872" s="4">
        <f>FacultyFTE*HoursPerWeek*WeeksPerYear*RatePerHour*(1+PracticeGrowth)^870</f>
        <v>7.8357880200931496E+23</v>
      </c>
      <c r="C872" s="4">
        <f>StudentsY1*(1+StudentGrowth)^870*CreditsPerStudent*TuitionPerCredit</f>
        <v>4.8973675125582186E+24</v>
      </c>
      <c r="D872" s="4">
        <f>SimRevY1*(1+SimGrowth)^870</f>
        <v>5.1357762192039288E+40</v>
      </c>
      <c r="E872" s="4">
        <f>FacDevRevY1*(1+FacDevGrowth)^870</f>
        <v>2.5678881096019644E+40</v>
      </c>
      <c r="F872" s="4">
        <f t="shared" si="52"/>
        <v>7.7036643288058938E+40</v>
      </c>
      <c r="G872" s="4">
        <f t="shared" si="53"/>
        <v>7.7036643288058938E+40</v>
      </c>
      <c r="H872" s="4">
        <f>SalaryFTECount*SalaryPerFTE*(1+SalaryGrowth)^870</f>
        <v>1.3842817224628822E+20</v>
      </c>
      <c r="I872" s="4">
        <f>SimOpsY1*(1+SimOpsGrowth)^870</f>
        <v>3.5957420453849716E+33</v>
      </c>
      <c r="J872" s="4">
        <f>TrainDevY1*(1+TrainDevGrowth)^870</f>
        <v>1.7978710226924858E+33</v>
      </c>
      <c r="K872" s="4">
        <f>AdminY1*(1+AdminGrowth)^870</f>
        <v>2.0755479737422785E+26</v>
      </c>
      <c r="L872" s="4">
        <f t="shared" si="54"/>
        <v>5.3936132756323934E+33</v>
      </c>
      <c r="M872" s="4">
        <f t="shared" si="55"/>
        <v>7.7036637894445659E+40</v>
      </c>
    </row>
    <row r="873" spans="1:13" x14ac:dyDescent="0.2">
      <c r="A873" s="3">
        <f>StartYear+871</f>
        <v>2896</v>
      </c>
      <c r="B873" s="4">
        <f>FacultyFTE*HoursPerWeek*WeeksPerYear*RatePerHour*(1+PracticeGrowth)^871</f>
        <v>8.2275774210978084E+23</v>
      </c>
      <c r="C873" s="4">
        <f>StudentsY1*(1+StudentGrowth)^871*CreditsPerStudent*TuitionPerCredit</f>
        <v>5.1422358881861305E+24</v>
      </c>
      <c r="D873" s="4">
        <f>SimRevY1*(1+SimGrowth)^871</f>
        <v>5.6493538411243224E+40</v>
      </c>
      <c r="E873" s="4">
        <f>FacDevRevY1*(1+FacDevGrowth)^871</f>
        <v>2.8246769205621612E+40</v>
      </c>
      <c r="F873" s="4">
        <f t="shared" si="52"/>
        <v>8.4740307616864841E+40</v>
      </c>
      <c r="G873" s="4">
        <f t="shared" si="53"/>
        <v>8.4740307616864841E+40</v>
      </c>
      <c r="H873" s="4">
        <f>SalaryFTECount*SalaryPerFTE*(1+SalaryGrowth)^871</f>
        <v>1.4396529913613976E+20</v>
      </c>
      <c r="I873" s="4">
        <f>SimOpsY1*(1+SimOpsGrowth)^871</f>
        <v>3.8834014090157689E+33</v>
      </c>
      <c r="J873" s="4">
        <f>TrainDevY1*(1+TrainDevGrowth)^871</f>
        <v>1.9417007045078844E+33</v>
      </c>
      <c r="K873" s="4">
        <f>AdminY1*(1+AdminGrowth)^871</f>
        <v>2.2000808521668153E+26</v>
      </c>
      <c r="L873" s="4">
        <f t="shared" si="54"/>
        <v>5.8251023335318828E+33</v>
      </c>
      <c r="M873" s="4">
        <f t="shared" si="55"/>
        <v>8.4740301791762503E+40</v>
      </c>
    </row>
    <row r="874" spans="1:13" x14ac:dyDescent="0.2">
      <c r="A874" s="3">
        <f>StartYear+872</f>
        <v>2897</v>
      </c>
      <c r="B874" s="4">
        <f>FacultyFTE*HoursPerWeek*WeeksPerYear*RatePerHour*(1+PracticeGrowth)^872</f>
        <v>8.6389562921526981E+23</v>
      </c>
      <c r="C874" s="4">
        <f>StudentsY1*(1+StudentGrowth)^872*CreditsPerStudent*TuitionPerCredit</f>
        <v>5.3993476825954371E+24</v>
      </c>
      <c r="D874" s="4">
        <f>SimRevY1*(1+SimGrowth)^872</f>
        <v>6.2142892252367546E+40</v>
      </c>
      <c r="E874" s="4">
        <f>FacDevRevY1*(1+FacDevGrowth)^872</f>
        <v>3.1071446126183773E+40</v>
      </c>
      <c r="F874" s="4">
        <f t="shared" si="52"/>
        <v>9.3214338378551323E+40</v>
      </c>
      <c r="G874" s="4">
        <f t="shared" si="53"/>
        <v>9.3214338378551323E+40</v>
      </c>
      <c r="H874" s="4">
        <f>SalaryFTECount*SalaryPerFTE*(1+SalaryGrowth)^872</f>
        <v>1.4972391110158539E+20</v>
      </c>
      <c r="I874" s="4">
        <f>SimOpsY1*(1+SimOpsGrowth)^872</f>
        <v>4.1940735217370309E+33</v>
      </c>
      <c r="J874" s="4">
        <f>TrainDevY1*(1+TrainDevGrowth)^872</f>
        <v>2.0970367608685154E+33</v>
      </c>
      <c r="K874" s="4">
        <f>AdminY1*(1+AdminGrowth)^872</f>
        <v>2.3320857032968238E+26</v>
      </c>
      <c r="L874" s="4">
        <f t="shared" si="54"/>
        <v>6.2911105158142664E+33</v>
      </c>
      <c r="M874" s="4">
        <f t="shared" si="55"/>
        <v>9.32143320874408E+40</v>
      </c>
    </row>
    <row r="875" spans="1:13" x14ac:dyDescent="0.2">
      <c r="A875" s="3">
        <f>StartYear+873</f>
        <v>2898</v>
      </c>
      <c r="B875" s="4">
        <f>FacultyFTE*HoursPerWeek*WeeksPerYear*RatePerHour*(1+PracticeGrowth)^873</f>
        <v>9.0709041067603336E+23</v>
      </c>
      <c r="C875" s="4">
        <f>StudentsY1*(1+StudentGrowth)^873*CreditsPerStudent*TuitionPerCredit</f>
        <v>5.6693150667252068E+24</v>
      </c>
      <c r="D875" s="4">
        <f>SimRevY1*(1+SimGrowth)^873</f>
        <v>6.8357181477604297E+40</v>
      </c>
      <c r="E875" s="4">
        <f>FacDevRevY1*(1+FacDevGrowth)^873</f>
        <v>3.4178590738802149E+40</v>
      </c>
      <c r="F875" s="4">
        <f t="shared" si="52"/>
        <v>1.0253577221640645E+41</v>
      </c>
      <c r="G875" s="4">
        <f t="shared" si="53"/>
        <v>1.0253577221640645E+41</v>
      </c>
      <c r="H875" s="4">
        <f>SalaryFTECount*SalaryPerFTE*(1+SalaryGrowth)^873</f>
        <v>1.5571286754564879E+20</v>
      </c>
      <c r="I875" s="4">
        <f>SimOpsY1*(1+SimOpsGrowth)^873</f>
        <v>4.5295994034759939E+33</v>
      </c>
      <c r="J875" s="4">
        <f>TrainDevY1*(1+TrainDevGrowth)^873</f>
        <v>2.2647997017379969E+33</v>
      </c>
      <c r="K875" s="4">
        <f>AdminY1*(1+AdminGrowth)^873</f>
        <v>2.4720108454946336E+26</v>
      </c>
      <c r="L875" s="4">
        <f t="shared" si="54"/>
        <v>6.7943993524152306E+33</v>
      </c>
      <c r="M875" s="4">
        <f t="shared" si="55"/>
        <v>1.0253576542200709E+41</v>
      </c>
    </row>
    <row r="876" spans="1:13" x14ac:dyDescent="0.2">
      <c r="A876" s="3">
        <f>StartYear+874</f>
        <v>2899</v>
      </c>
      <c r="B876" s="4">
        <f>FacultyFTE*HoursPerWeek*WeeksPerYear*RatePerHour*(1+PracticeGrowth)^874</f>
        <v>9.5244493120983515E+23</v>
      </c>
      <c r="C876" s="4">
        <f>StudentsY1*(1+StudentGrowth)^874*CreditsPerStudent*TuitionPerCredit</f>
        <v>5.9527808200614692E+24</v>
      </c>
      <c r="D876" s="4">
        <f>SimRevY1*(1+SimGrowth)^874</f>
        <v>7.5192899625364727E+40</v>
      </c>
      <c r="E876" s="4">
        <f>FacDevRevY1*(1+FacDevGrowth)^874</f>
        <v>3.7596449812682363E+40</v>
      </c>
      <c r="F876" s="4">
        <f t="shared" si="52"/>
        <v>1.1278934943804709E+41</v>
      </c>
      <c r="G876" s="4">
        <f t="shared" si="53"/>
        <v>1.1278934943804709E+41</v>
      </c>
      <c r="H876" s="4">
        <f>SalaryFTECount*SalaryPerFTE*(1+SalaryGrowth)^874</f>
        <v>1.6194138224747476E+20</v>
      </c>
      <c r="I876" s="4">
        <f>SimOpsY1*(1+SimOpsGrowth)^874</f>
        <v>4.8919673557540723E+33</v>
      </c>
      <c r="J876" s="4">
        <f>TrainDevY1*(1+TrainDevGrowth)^874</f>
        <v>2.4459836778770362E+33</v>
      </c>
      <c r="K876" s="4">
        <f>AdminY1*(1+AdminGrowth)^874</f>
        <v>2.6203314962243117E+26</v>
      </c>
      <c r="L876" s="4">
        <f t="shared" si="54"/>
        <v>7.33795129566442E+33</v>
      </c>
      <c r="M876" s="4">
        <f t="shared" si="55"/>
        <v>1.127893421000958E+41</v>
      </c>
    </row>
    <row r="877" spans="1:13" x14ac:dyDescent="0.2">
      <c r="A877" s="3">
        <f>StartYear+875</f>
        <v>2900</v>
      </c>
      <c r="B877" s="4">
        <f>FacultyFTE*HoursPerWeek*WeeksPerYear*RatePerHour*(1+PracticeGrowth)^875</f>
        <v>1.000067177770327E+24</v>
      </c>
      <c r="C877" s="4">
        <f>StudentsY1*(1+StudentGrowth)^875*CreditsPerStudent*TuitionPerCredit</f>
        <v>6.2504198610645433E+24</v>
      </c>
      <c r="D877" s="4">
        <f>SimRevY1*(1+SimGrowth)^875</f>
        <v>8.2712189587901219E+40</v>
      </c>
      <c r="E877" s="4">
        <f>FacDevRevY1*(1+FacDevGrowth)^875</f>
        <v>4.1356094793950609E+40</v>
      </c>
      <c r="F877" s="4">
        <f t="shared" si="52"/>
        <v>1.2406828438185184E+41</v>
      </c>
      <c r="G877" s="4">
        <f t="shared" si="53"/>
        <v>1.2406828438185184E+41</v>
      </c>
      <c r="H877" s="4">
        <f>SalaryFTECount*SalaryPerFTE*(1+SalaryGrowth)^875</f>
        <v>1.6841903753737375E+20</v>
      </c>
      <c r="I877" s="4">
        <f>SimOpsY1*(1+SimOpsGrowth)^875</f>
        <v>5.2833247442143982E+33</v>
      </c>
      <c r="J877" s="4">
        <f>TrainDevY1*(1+TrainDevGrowth)^875</f>
        <v>2.6416623721071991E+33</v>
      </c>
      <c r="K877" s="4">
        <f>AdminY1*(1+AdminGrowth)^875</f>
        <v>2.777551385997771E+26</v>
      </c>
      <c r="L877" s="4">
        <f t="shared" si="54"/>
        <v>7.9249873940769044E+33</v>
      </c>
      <c r="M877" s="4">
        <f t="shared" si="55"/>
        <v>1.2406827645686445E+41</v>
      </c>
    </row>
    <row r="878" spans="1:13" x14ac:dyDescent="0.2">
      <c r="A878" s="3">
        <f>StartYear+876</f>
        <v>2901</v>
      </c>
      <c r="B878" s="4">
        <f>FacultyFTE*HoursPerWeek*WeeksPerYear*RatePerHour*(1+PracticeGrowth)^876</f>
        <v>1.050070536658843E+24</v>
      </c>
      <c r="C878" s="4">
        <f>StudentsY1*(1+StudentGrowth)^876*CreditsPerStudent*TuitionPerCredit</f>
        <v>6.5629408541177688E+24</v>
      </c>
      <c r="D878" s="4">
        <f>SimRevY1*(1+SimGrowth)^876</f>
        <v>9.0983408546691354E+40</v>
      </c>
      <c r="E878" s="4">
        <f>FacDevRevY1*(1+FacDevGrowth)^876</f>
        <v>4.5491704273345677E+40</v>
      </c>
      <c r="F878" s="4">
        <f t="shared" si="52"/>
        <v>1.3647511282003703E+41</v>
      </c>
      <c r="G878" s="4">
        <f t="shared" si="53"/>
        <v>1.3647511282003703E+41</v>
      </c>
      <c r="H878" s="4">
        <f>SalaryFTECount*SalaryPerFTE*(1+SalaryGrowth)^876</f>
        <v>1.7515579903886872E+20</v>
      </c>
      <c r="I878" s="4">
        <f>SimOpsY1*(1+SimOpsGrowth)^876</f>
        <v>5.7059907237515523E+33</v>
      </c>
      <c r="J878" s="4">
        <f>TrainDevY1*(1+TrainDevGrowth)^876</f>
        <v>2.8529953618757761E+33</v>
      </c>
      <c r="K878" s="4">
        <f>AdminY1*(1+AdminGrowth)^876</f>
        <v>2.9442044691576373E+26</v>
      </c>
      <c r="L878" s="4">
        <f t="shared" si="54"/>
        <v>8.5589863800479505E+33</v>
      </c>
      <c r="M878" s="4">
        <f t="shared" si="55"/>
        <v>1.3647510426105065E+41</v>
      </c>
    </row>
    <row r="879" spans="1:13" x14ac:dyDescent="0.2">
      <c r="A879" s="3">
        <f>StartYear+877</f>
        <v>2902</v>
      </c>
      <c r="B879" s="4">
        <f>FacultyFTE*HoursPerWeek*WeeksPerYear*RatePerHour*(1+PracticeGrowth)^877</f>
        <v>1.1025740634917855E+24</v>
      </c>
      <c r="C879" s="4">
        <f>StudentsY1*(1+StudentGrowth)^877*CreditsPerStudent*TuitionPerCredit</f>
        <v>6.8910878968236589E+24</v>
      </c>
      <c r="D879" s="4">
        <f>SimRevY1*(1+SimGrowth)^877</f>
        <v>1.0008174940136049E+41</v>
      </c>
      <c r="E879" s="4">
        <f>FacDevRevY1*(1+FacDevGrowth)^877</f>
        <v>5.0040874700680247E+40</v>
      </c>
      <c r="F879" s="4">
        <f t="shared" si="52"/>
        <v>1.5012262410204075E+41</v>
      </c>
      <c r="G879" s="4">
        <f t="shared" si="53"/>
        <v>1.5012262410204075E+41</v>
      </c>
      <c r="H879" s="4">
        <f>SalaryFTECount*SalaryPerFTE*(1+SalaryGrowth)^877</f>
        <v>1.8216203100042346E+20</v>
      </c>
      <c r="I879" s="4">
        <f>SimOpsY1*(1+SimOpsGrowth)^877</f>
        <v>6.1624699816516748E+33</v>
      </c>
      <c r="J879" s="4">
        <f>TrainDevY1*(1+TrainDevGrowth)^877</f>
        <v>3.0812349908258374E+33</v>
      </c>
      <c r="K879" s="4">
        <f>AdminY1*(1+AdminGrowth)^877</f>
        <v>3.1208567373070961E+26</v>
      </c>
      <c r="L879" s="4">
        <f t="shared" si="54"/>
        <v>9.2437052845633677E+33</v>
      </c>
      <c r="M879" s="4">
        <f t="shared" si="55"/>
        <v>1.5012261485833547E+41</v>
      </c>
    </row>
    <row r="880" spans="1:13" x14ac:dyDescent="0.2">
      <c r="A880" s="3">
        <f>StartYear+878</f>
        <v>2903</v>
      </c>
      <c r="B880" s="4">
        <f>FacultyFTE*HoursPerWeek*WeeksPerYear*RatePerHour*(1+PracticeGrowth)^878</f>
        <v>1.1577027666663744E+24</v>
      </c>
      <c r="C880" s="4">
        <f>StudentsY1*(1+StudentGrowth)^878*CreditsPerStudent*TuitionPerCredit</f>
        <v>7.235642291664839E+24</v>
      </c>
      <c r="D880" s="4">
        <f>SimRevY1*(1+SimGrowth)^878</f>
        <v>1.1008992434149656E+41</v>
      </c>
      <c r="E880" s="4">
        <f>FacDevRevY1*(1+FacDevGrowth)^878</f>
        <v>5.5044962170748282E+40</v>
      </c>
      <c r="F880" s="4">
        <f t="shared" si="52"/>
        <v>1.6513488651224486E+41</v>
      </c>
      <c r="G880" s="4">
        <f t="shared" si="53"/>
        <v>1.6513488651224486E+41</v>
      </c>
      <c r="H880" s="4">
        <f>SalaryFTECount*SalaryPerFTE*(1+SalaryGrowth)^878</f>
        <v>1.8944851224044044E+20</v>
      </c>
      <c r="I880" s="4">
        <f>SimOpsY1*(1+SimOpsGrowth)^878</f>
        <v>6.65546758018381E+33</v>
      </c>
      <c r="J880" s="4">
        <f>TrainDevY1*(1+TrainDevGrowth)^878</f>
        <v>3.327733790091905E+33</v>
      </c>
      <c r="K880" s="4">
        <f>AdminY1*(1+AdminGrowth)^878</f>
        <v>3.3081081415455222E+26</v>
      </c>
      <c r="L880" s="4">
        <f t="shared" si="54"/>
        <v>9.9832017010867186E+33</v>
      </c>
      <c r="M880" s="4">
        <f t="shared" si="55"/>
        <v>1.6513487652904316E+41</v>
      </c>
    </row>
    <row r="881" spans="1:13" x14ac:dyDescent="0.2">
      <c r="A881" s="3">
        <f>StartYear+879</f>
        <v>2904</v>
      </c>
      <c r="B881" s="4">
        <f>FacultyFTE*HoursPerWeek*WeeksPerYear*RatePerHour*(1+PracticeGrowth)^879</f>
        <v>1.2155879049996938E+24</v>
      </c>
      <c r="C881" s="4">
        <f>StudentsY1*(1+StudentGrowth)^879*CreditsPerStudent*TuitionPerCredit</f>
        <v>7.5974244062480842E+24</v>
      </c>
      <c r="D881" s="4">
        <f>SimRevY1*(1+SimGrowth)^879</f>
        <v>1.2109891677564621E+41</v>
      </c>
      <c r="E881" s="4">
        <f>FacDevRevY1*(1+FacDevGrowth)^879</f>
        <v>6.0549458387823106E+40</v>
      </c>
      <c r="F881" s="4">
        <f t="shared" si="52"/>
        <v>1.8164837516346933E+41</v>
      </c>
      <c r="G881" s="4">
        <f t="shared" si="53"/>
        <v>1.8164837516346933E+41</v>
      </c>
      <c r="H881" s="4">
        <f>SalaryFTECount*SalaryPerFTE*(1+SalaryGrowth)^879</f>
        <v>1.9702645273005801E+20</v>
      </c>
      <c r="I881" s="4">
        <f>SimOpsY1*(1+SimOpsGrowth)^879</f>
        <v>7.1879049865985168E+33</v>
      </c>
      <c r="J881" s="4">
        <f>TrainDevY1*(1+TrainDevGrowth)^879</f>
        <v>3.5939524932992584E+33</v>
      </c>
      <c r="K881" s="4">
        <f>AdminY1*(1+AdminGrowth)^879</f>
        <v>3.5065946300382536E+26</v>
      </c>
      <c r="L881" s="4">
        <f t="shared" si="54"/>
        <v>1.0781857830557436E+34</v>
      </c>
      <c r="M881" s="4">
        <f t="shared" si="55"/>
        <v>1.8164836438161148E+41</v>
      </c>
    </row>
    <row r="882" spans="1:13" x14ac:dyDescent="0.2">
      <c r="A882" s="3">
        <f>StartYear+880</f>
        <v>2905</v>
      </c>
      <c r="B882" s="4">
        <f>FacultyFTE*HoursPerWeek*WeeksPerYear*RatePerHour*(1+PracticeGrowth)^880</f>
        <v>1.2763673002496782E+24</v>
      </c>
      <c r="C882" s="4">
        <f>StudentsY1*(1+StudentGrowth)^880*CreditsPerStudent*TuitionPerCredit</f>
        <v>7.9772956265604885E+24</v>
      </c>
      <c r="D882" s="4">
        <f>SimRevY1*(1+SimGrowth)^880</f>
        <v>1.3320880845321084E+41</v>
      </c>
      <c r="E882" s="4">
        <f>FacDevRevY1*(1+FacDevGrowth)^880</f>
        <v>6.6604404226605419E+40</v>
      </c>
      <c r="F882" s="4">
        <f t="shared" si="52"/>
        <v>1.9981321267981627E+41</v>
      </c>
      <c r="G882" s="4">
        <f t="shared" si="53"/>
        <v>1.9981321267981627E+41</v>
      </c>
      <c r="H882" s="4">
        <f>SalaryFTECount*SalaryPerFTE*(1+SalaryGrowth)^880</f>
        <v>2.0490751083926038E+20</v>
      </c>
      <c r="I882" s="4">
        <f>SimOpsY1*(1+SimOpsGrowth)^880</f>
        <v>7.7629373855263979E+33</v>
      </c>
      <c r="J882" s="4">
        <f>TrainDevY1*(1+TrainDevGrowth)^880</f>
        <v>3.881468692763199E+33</v>
      </c>
      <c r="K882" s="4">
        <f>AdminY1*(1+AdminGrowth)^880</f>
        <v>3.7169903078405485E+26</v>
      </c>
      <c r="L882" s="4">
        <f t="shared" si="54"/>
        <v>1.1644406449988832E+34</v>
      </c>
      <c r="M882" s="4">
        <f t="shared" si="55"/>
        <v>1.9981320103540981E+41</v>
      </c>
    </row>
    <row r="883" spans="1:13" x14ac:dyDescent="0.2">
      <c r="A883" s="3">
        <f>StartYear+881</f>
        <v>2906</v>
      </c>
      <c r="B883" s="4">
        <f>FacultyFTE*HoursPerWeek*WeeksPerYear*RatePerHour*(1+PracticeGrowth)^881</f>
        <v>1.3401856652621622E+24</v>
      </c>
      <c r="C883" s="4">
        <f>StudentsY1*(1+StudentGrowth)^881*CreditsPerStudent*TuitionPerCredit</f>
        <v>8.3761604078885134E+24</v>
      </c>
      <c r="D883" s="4">
        <f>SimRevY1*(1+SimGrowth)^881</f>
        <v>1.4652968929853195E+41</v>
      </c>
      <c r="E883" s="4">
        <f>FacDevRevY1*(1+FacDevGrowth)^881</f>
        <v>7.3264844649265974E+40</v>
      </c>
      <c r="F883" s="4">
        <f t="shared" si="52"/>
        <v>2.1979453394779792E+41</v>
      </c>
      <c r="G883" s="4">
        <f t="shared" si="53"/>
        <v>2.1979453394779792E+41</v>
      </c>
      <c r="H883" s="4">
        <f>SalaryFTECount*SalaryPerFTE*(1+SalaryGrowth)^881</f>
        <v>2.1310381127283078E+20</v>
      </c>
      <c r="I883" s="4">
        <f>SimOpsY1*(1+SimOpsGrowth)^881</f>
        <v>8.3839723763685093E+33</v>
      </c>
      <c r="J883" s="4">
        <f>TrainDevY1*(1+TrainDevGrowth)^881</f>
        <v>4.1919861881842546E+33</v>
      </c>
      <c r="K883" s="4">
        <f>AdminY1*(1+AdminGrowth)^881</f>
        <v>3.9400097263109819E+26</v>
      </c>
      <c r="L883" s="4">
        <f t="shared" si="54"/>
        <v>1.2575958958553951E+34</v>
      </c>
      <c r="M883" s="4">
        <f t="shared" si="55"/>
        <v>2.1979452137183896E+41</v>
      </c>
    </row>
    <row r="884" spans="1:13" x14ac:dyDescent="0.2">
      <c r="A884" s="3">
        <f>StartYear+882</f>
        <v>2907</v>
      </c>
      <c r="B884" s="4">
        <f>FacultyFTE*HoursPerWeek*WeeksPerYear*RatePerHour*(1+PracticeGrowth)^882</f>
        <v>1.4071949485252706E+24</v>
      </c>
      <c r="C884" s="4">
        <f>StudentsY1*(1+StudentGrowth)^882*CreditsPerStudent*TuitionPerCredit</f>
        <v>8.7949684282829409E+24</v>
      </c>
      <c r="D884" s="4">
        <f>SimRevY1*(1+SimGrowth)^882</f>
        <v>1.6118265822838514E+41</v>
      </c>
      <c r="E884" s="4">
        <f>FacDevRevY1*(1+FacDevGrowth)^882</f>
        <v>8.0591329114192571E+40</v>
      </c>
      <c r="F884" s="4">
        <f t="shared" si="52"/>
        <v>2.4177398734257769E+41</v>
      </c>
      <c r="G884" s="4">
        <f t="shared" si="53"/>
        <v>2.4177398734257769E+41</v>
      </c>
      <c r="H884" s="4">
        <f>SalaryFTECount*SalaryPerFTE*(1+SalaryGrowth)^882</f>
        <v>2.2162796372374405E+20</v>
      </c>
      <c r="I884" s="4">
        <f>SimOpsY1*(1+SimOpsGrowth)^882</f>
        <v>9.0546901664779918E+33</v>
      </c>
      <c r="J884" s="4">
        <f>TrainDevY1*(1+TrainDevGrowth)^882</f>
        <v>4.5273450832389959E+33</v>
      </c>
      <c r="K884" s="4">
        <f>AdminY1*(1+AdminGrowth)^882</f>
        <v>4.1764103098896403E+26</v>
      </c>
      <c r="L884" s="4">
        <f t="shared" si="54"/>
        <v>1.3582035667358241E+34</v>
      </c>
      <c r="M884" s="4">
        <f t="shared" si="55"/>
        <v>2.4177397376054203E+41</v>
      </c>
    </row>
    <row r="885" spans="1:13" x14ac:dyDescent="0.2">
      <c r="A885" s="3">
        <f>StartYear+883</f>
        <v>2908</v>
      </c>
      <c r="B885" s="4">
        <f>FacultyFTE*HoursPerWeek*WeeksPerYear*RatePerHour*(1+PracticeGrowth)^883</f>
        <v>1.4775546959515338E+24</v>
      </c>
      <c r="C885" s="4">
        <f>StudentsY1*(1+StudentGrowth)^883*CreditsPerStudent*TuitionPerCredit</f>
        <v>9.234716849697087E+24</v>
      </c>
      <c r="D885" s="4">
        <f>SimRevY1*(1+SimGrowth)^883</f>
        <v>1.7730092405122366E+41</v>
      </c>
      <c r="E885" s="4">
        <f>FacDevRevY1*(1+FacDevGrowth)^883</f>
        <v>8.865046202561183E+40</v>
      </c>
      <c r="F885" s="4">
        <f t="shared" si="52"/>
        <v>2.6595138607683547E+41</v>
      </c>
      <c r="G885" s="4">
        <f t="shared" si="53"/>
        <v>2.6595138607683547E+41</v>
      </c>
      <c r="H885" s="4">
        <f>SalaryFTECount*SalaryPerFTE*(1+SalaryGrowth)^883</f>
        <v>2.3049308227269381E+20</v>
      </c>
      <c r="I885" s="4">
        <f>SimOpsY1*(1+SimOpsGrowth)^883</f>
        <v>9.7790653797962327E+33</v>
      </c>
      <c r="J885" s="4">
        <f>TrainDevY1*(1+TrainDevGrowth)^883</f>
        <v>4.8895326898981163E+33</v>
      </c>
      <c r="K885" s="4">
        <f>AdminY1*(1+AdminGrowth)^883</f>
        <v>4.4269949284830193E+26</v>
      </c>
      <c r="L885" s="4">
        <f t="shared" si="54"/>
        <v>1.4668598512394073E+34</v>
      </c>
      <c r="M885" s="4">
        <f t="shared" si="55"/>
        <v>2.6595137140823698E+41</v>
      </c>
    </row>
    <row r="886" spans="1:13" x14ac:dyDescent="0.2">
      <c r="A886" s="3">
        <f>StartYear+884</f>
        <v>2909</v>
      </c>
      <c r="B886" s="4">
        <f>FacultyFTE*HoursPerWeek*WeeksPerYear*RatePerHour*(1+PracticeGrowth)^884</f>
        <v>1.5514324307491109E+24</v>
      </c>
      <c r="C886" s="4">
        <f>StudentsY1*(1+StudentGrowth)^884*CreditsPerStudent*TuitionPerCredit</f>
        <v>9.6964526921819418E+24</v>
      </c>
      <c r="D886" s="4">
        <f>SimRevY1*(1+SimGrowth)^884</f>
        <v>1.9503101645634604E+41</v>
      </c>
      <c r="E886" s="4">
        <f>FacDevRevY1*(1+FacDevGrowth)^884</f>
        <v>9.7515508228173019E+40</v>
      </c>
      <c r="F886" s="4">
        <f t="shared" si="52"/>
        <v>2.9254652468451906E+41</v>
      </c>
      <c r="G886" s="4">
        <f t="shared" si="53"/>
        <v>2.9254652468451906E+41</v>
      </c>
      <c r="H886" s="4">
        <f>SalaryFTECount*SalaryPerFTE*(1+SalaryGrowth)^884</f>
        <v>2.3971280556360158E+20</v>
      </c>
      <c r="I886" s="4">
        <f>SimOpsY1*(1+SimOpsGrowth)^884</f>
        <v>1.056139061017993E+34</v>
      </c>
      <c r="J886" s="4">
        <f>TrainDevY1*(1+TrainDevGrowth)^884</f>
        <v>5.2806953050899651E+33</v>
      </c>
      <c r="K886" s="4">
        <f>AdminY1*(1+AdminGrowth)^884</f>
        <v>4.6926146241920003E+26</v>
      </c>
      <c r="L886" s="4">
        <f t="shared" si="54"/>
        <v>1.5842086384531597E+34</v>
      </c>
      <c r="M886" s="4">
        <f t="shared" si="55"/>
        <v>2.9254650884243267E+41</v>
      </c>
    </row>
    <row r="887" spans="1:13" x14ac:dyDescent="0.2">
      <c r="A887" s="3">
        <f>StartYear+885</f>
        <v>2910</v>
      </c>
      <c r="B887" s="4">
        <f>FacultyFTE*HoursPerWeek*WeeksPerYear*RatePerHour*(1+PracticeGrowth)^885</f>
        <v>1.629004052286566E+24</v>
      </c>
      <c r="C887" s="4">
        <f>StudentsY1*(1+StudentGrowth)^885*CreditsPerStudent*TuitionPerCredit</f>
        <v>1.0181275326791037E+25</v>
      </c>
      <c r="D887" s="4">
        <f>SimRevY1*(1+SimGrowth)^885</f>
        <v>2.1453411810198065E+41</v>
      </c>
      <c r="E887" s="4">
        <f>FacDevRevY1*(1+FacDevGrowth)^885</f>
        <v>1.0726705905099032E+41</v>
      </c>
      <c r="F887" s="4">
        <f t="shared" si="52"/>
        <v>3.2180117715297097E+41</v>
      </c>
      <c r="G887" s="4">
        <f t="shared" si="53"/>
        <v>3.2180117715297097E+41</v>
      </c>
      <c r="H887" s="4">
        <f>SalaryFTECount*SalaryPerFTE*(1+SalaryGrowth)^885</f>
        <v>2.4930131778614569E+20</v>
      </c>
      <c r="I887" s="4">
        <f>SimOpsY1*(1+SimOpsGrowth)^885</f>
        <v>1.1406301858994323E+34</v>
      </c>
      <c r="J887" s="4">
        <f>TrainDevY1*(1+TrainDevGrowth)^885</f>
        <v>5.7031509294971613E+33</v>
      </c>
      <c r="K887" s="4">
        <f>AdminY1*(1+AdminGrowth)^885</f>
        <v>4.9741715016435214E+26</v>
      </c>
      <c r="L887" s="4">
        <f t="shared" si="54"/>
        <v>1.7109453285908884E+34</v>
      </c>
      <c r="M887" s="4">
        <f t="shared" si="55"/>
        <v>3.2180116004351767E+41</v>
      </c>
    </row>
    <row r="888" spans="1:13" x14ac:dyDescent="0.2">
      <c r="A888" s="3">
        <f>StartYear+886</f>
        <v>2911</v>
      </c>
      <c r="B888" s="4">
        <f>FacultyFTE*HoursPerWeek*WeeksPerYear*RatePerHour*(1+PracticeGrowth)^886</f>
        <v>1.7104542549008942E+24</v>
      </c>
      <c r="C888" s="4">
        <f>StudentsY1*(1+StudentGrowth)^886*CreditsPerStudent*TuitionPerCredit</f>
        <v>1.0690339093130587E+25</v>
      </c>
      <c r="D888" s="4">
        <f>SimRevY1*(1+SimGrowth)^886</f>
        <v>2.3598752991217876E+41</v>
      </c>
      <c r="E888" s="4">
        <f>FacDevRevY1*(1+FacDevGrowth)^886</f>
        <v>1.1799376495608938E+41</v>
      </c>
      <c r="F888" s="4">
        <f t="shared" si="52"/>
        <v>3.5398129486826812E+41</v>
      </c>
      <c r="G888" s="4">
        <f t="shared" si="53"/>
        <v>3.5398129486826812E+41</v>
      </c>
      <c r="H888" s="4">
        <f>SalaryFTECount*SalaryPerFTE*(1+SalaryGrowth)^886</f>
        <v>2.5927337049759154E+20</v>
      </c>
      <c r="I888" s="4">
        <f>SimOpsY1*(1+SimOpsGrowth)^886</f>
        <v>1.2318806007713871E+34</v>
      </c>
      <c r="J888" s="4">
        <f>TrainDevY1*(1+TrainDevGrowth)^886</f>
        <v>6.1594030038569354E+33</v>
      </c>
      <c r="K888" s="4">
        <f>AdminY1*(1+AdminGrowth)^886</f>
        <v>5.272621791742133E+26</v>
      </c>
      <c r="L888" s="4">
        <f t="shared" si="54"/>
        <v>1.8478209538833245E+34</v>
      </c>
      <c r="M888" s="4">
        <f t="shared" si="55"/>
        <v>3.5398127639005856E+41</v>
      </c>
    </row>
    <row r="889" spans="1:13" x14ac:dyDescent="0.2">
      <c r="A889" s="3">
        <f>StartYear+887</f>
        <v>2912</v>
      </c>
      <c r="B889" s="4">
        <f>FacultyFTE*HoursPerWeek*WeeksPerYear*RatePerHour*(1+PracticeGrowth)^887</f>
        <v>1.7959769676459391E+24</v>
      </c>
      <c r="C889" s="4">
        <f>StudentsY1*(1+StudentGrowth)^887*CreditsPerStudent*TuitionPerCredit</f>
        <v>1.1224856047787121E+25</v>
      </c>
      <c r="D889" s="4">
        <f>SimRevY1*(1+SimGrowth)^887</f>
        <v>2.5958628290339668E+41</v>
      </c>
      <c r="E889" s="4">
        <f>FacDevRevY1*(1+FacDevGrowth)^887</f>
        <v>1.2979314145169834E+41</v>
      </c>
      <c r="F889" s="4">
        <f t="shared" si="52"/>
        <v>3.8937942435509506E+41</v>
      </c>
      <c r="G889" s="4">
        <f t="shared" si="53"/>
        <v>3.8937942435509506E+41</v>
      </c>
      <c r="H889" s="4">
        <f>SalaryFTECount*SalaryPerFTE*(1+SalaryGrowth)^887</f>
        <v>2.6964430531749511E+20</v>
      </c>
      <c r="I889" s="4">
        <f>SimOpsY1*(1+SimOpsGrowth)^887</f>
        <v>1.3304310488330981E+34</v>
      </c>
      <c r="J889" s="4">
        <f>TrainDevY1*(1+TrainDevGrowth)^887</f>
        <v>6.6521552441654907E+33</v>
      </c>
      <c r="K889" s="4">
        <f>AdminY1*(1+AdminGrowth)^887</f>
        <v>5.5889790992466612E+26</v>
      </c>
      <c r="L889" s="4">
        <f t="shared" si="54"/>
        <v>1.995646629139465E+34</v>
      </c>
      <c r="M889" s="4">
        <f t="shared" si="55"/>
        <v>3.893794043986288E+41</v>
      </c>
    </row>
    <row r="890" spans="1:13" x14ac:dyDescent="0.2">
      <c r="A890" s="3">
        <f>StartYear+888</f>
        <v>2913</v>
      </c>
      <c r="B890" s="4">
        <f>FacultyFTE*HoursPerWeek*WeeksPerYear*RatePerHour*(1+PracticeGrowth)^888</f>
        <v>1.885775816028236E+24</v>
      </c>
      <c r="C890" s="4">
        <f>StudentsY1*(1+StudentGrowth)^888*CreditsPerStudent*TuitionPerCredit</f>
        <v>1.1786098850176475E+25</v>
      </c>
      <c r="D890" s="4">
        <f>SimRevY1*(1+SimGrowth)^888</f>
        <v>2.8554491119373627E+41</v>
      </c>
      <c r="E890" s="4">
        <f>FacDevRevY1*(1+FacDevGrowth)^888</f>
        <v>1.4277245559686813E+41</v>
      </c>
      <c r="F890" s="4">
        <f t="shared" si="52"/>
        <v>4.2831736679060442E+41</v>
      </c>
      <c r="G890" s="4">
        <f t="shared" si="53"/>
        <v>4.2831736679060442E+41</v>
      </c>
      <c r="H890" s="4">
        <f>SalaryFTECount*SalaryPerFTE*(1+SalaryGrowth)^888</f>
        <v>2.8043007753019497E+20</v>
      </c>
      <c r="I890" s="4">
        <f>SimOpsY1*(1+SimOpsGrowth)^888</f>
        <v>1.4368655327397462E+34</v>
      </c>
      <c r="J890" s="4">
        <f>TrainDevY1*(1+TrainDevGrowth)^888</f>
        <v>7.1843276636987309E+33</v>
      </c>
      <c r="K890" s="4">
        <f>AdminY1*(1+AdminGrowth)^888</f>
        <v>5.9243178452014601E+26</v>
      </c>
      <c r="L890" s="4">
        <f t="shared" si="54"/>
        <v>2.1552983583528258E+34</v>
      </c>
      <c r="M890" s="4">
        <f t="shared" si="55"/>
        <v>4.2831734523762082E+41</v>
      </c>
    </row>
    <row r="891" spans="1:13" x14ac:dyDescent="0.2">
      <c r="A891" s="3">
        <f>StartYear+889</f>
        <v>2914</v>
      </c>
      <c r="B891" s="4">
        <f>FacultyFTE*HoursPerWeek*WeeksPerYear*RatePerHour*(1+PracticeGrowth)^889</f>
        <v>1.9800646068296478E+24</v>
      </c>
      <c r="C891" s="4">
        <f>StudentsY1*(1+StudentGrowth)^889*CreditsPerStudent*TuitionPerCredit</f>
        <v>1.2375403792685299E+25</v>
      </c>
      <c r="D891" s="4">
        <f>SimRevY1*(1+SimGrowth)^889</f>
        <v>3.1409940231311E+41</v>
      </c>
      <c r="E891" s="4">
        <f>FacDevRevY1*(1+FacDevGrowth)^889</f>
        <v>1.57049701156555E+41</v>
      </c>
      <c r="F891" s="4">
        <f t="shared" si="52"/>
        <v>4.7114910346966498E+41</v>
      </c>
      <c r="G891" s="4">
        <f t="shared" si="53"/>
        <v>4.7114910346966498E+41</v>
      </c>
      <c r="H891" s="4">
        <f>SalaryFTECount*SalaryPerFTE*(1+SalaryGrowth)^889</f>
        <v>2.9164728063140286E+20</v>
      </c>
      <c r="I891" s="4">
        <f>SimOpsY1*(1+SimOpsGrowth)^889</f>
        <v>1.5518147753589259E+34</v>
      </c>
      <c r="J891" s="4">
        <f>TrainDevY1*(1+TrainDevGrowth)^889</f>
        <v>7.7590738767946295E+33</v>
      </c>
      <c r="K891" s="4">
        <f>AdminY1*(1+AdminGrowth)^889</f>
        <v>6.2797769159135492E+26</v>
      </c>
      <c r="L891" s="4">
        <f t="shared" si="54"/>
        <v>2.3277222258361866E+34</v>
      </c>
      <c r="M891" s="4">
        <f t="shared" si="55"/>
        <v>4.7114908019244275E+41</v>
      </c>
    </row>
    <row r="892" spans="1:13" x14ac:dyDescent="0.2">
      <c r="A892" s="3">
        <f>StartYear+890</f>
        <v>2915</v>
      </c>
      <c r="B892" s="4">
        <f>FacultyFTE*HoursPerWeek*WeeksPerYear*RatePerHour*(1+PracticeGrowth)^890</f>
        <v>2.0790678371711305E+24</v>
      </c>
      <c r="C892" s="4">
        <f>StudentsY1*(1+StudentGrowth)^890*CreditsPerStudent*TuitionPerCredit</f>
        <v>1.2994173982319566E+25</v>
      </c>
      <c r="D892" s="4">
        <f>SimRevY1*(1+SimGrowth)^890</f>
        <v>3.45509342544421E+41</v>
      </c>
      <c r="E892" s="4">
        <f>FacDevRevY1*(1+FacDevGrowth)^890</f>
        <v>1.727546712722105E+41</v>
      </c>
      <c r="F892" s="4">
        <f t="shared" si="52"/>
        <v>5.1826401381663153E+41</v>
      </c>
      <c r="G892" s="4">
        <f t="shared" si="53"/>
        <v>5.1826401381663153E+41</v>
      </c>
      <c r="H892" s="4">
        <f>SalaryFTECount*SalaryPerFTE*(1+SalaryGrowth)^890</f>
        <v>3.0331317185665886E+20</v>
      </c>
      <c r="I892" s="4">
        <f>SimOpsY1*(1+SimOpsGrowth)^890</f>
        <v>1.67595995738764E+34</v>
      </c>
      <c r="J892" s="4">
        <f>TrainDevY1*(1+TrainDevGrowth)^890</f>
        <v>8.3797997869382001E+33</v>
      </c>
      <c r="K892" s="4">
        <f>AdminY1*(1+AdminGrowth)^890</f>
        <v>6.6565635308683608E+26</v>
      </c>
      <c r="L892" s="4">
        <f t="shared" si="54"/>
        <v>2.5139400026471257E+34</v>
      </c>
      <c r="M892" s="4">
        <f t="shared" si="55"/>
        <v>5.1826398867723149E+41</v>
      </c>
    </row>
    <row r="893" spans="1:13" x14ac:dyDescent="0.2">
      <c r="A893" s="3">
        <f>StartYear+891</f>
        <v>2916</v>
      </c>
      <c r="B893" s="4">
        <f>FacultyFTE*HoursPerWeek*WeeksPerYear*RatePerHour*(1+PracticeGrowth)^891</f>
        <v>2.1830212290296872E+24</v>
      </c>
      <c r="C893" s="4">
        <f>StudentsY1*(1+StudentGrowth)^891*CreditsPerStudent*TuitionPerCredit</f>
        <v>1.3643882681435547E+25</v>
      </c>
      <c r="D893" s="4">
        <f>SimRevY1*(1+SimGrowth)^891</f>
        <v>3.8006027679886314E+41</v>
      </c>
      <c r="E893" s="4">
        <f>FacDevRevY1*(1+FacDevGrowth)^891</f>
        <v>1.9003013839943157E+41</v>
      </c>
      <c r="F893" s="4">
        <f t="shared" si="52"/>
        <v>5.7009041519829471E+41</v>
      </c>
      <c r="G893" s="4">
        <f t="shared" si="53"/>
        <v>5.7009041519829471E+41</v>
      </c>
      <c r="H893" s="4">
        <f>SalaryFTECount*SalaryPerFTE*(1+SalaryGrowth)^891</f>
        <v>3.1544569873092523E+20</v>
      </c>
      <c r="I893" s="4">
        <f>SimOpsY1*(1+SimOpsGrowth)^891</f>
        <v>1.8100367539786511E+34</v>
      </c>
      <c r="J893" s="4">
        <f>TrainDevY1*(1+TrainDevGrowth)^891</f>
        <v>9.0501837698932553E+33</v>
      </c>
      <c r="K893" s="4">
        <f>AdminY1*(1+AdminGrowth)^891</f>
        <v>7.055957342720465E+26</v>
      </c>
      <c r="L893" s="4">
        <f t="shared" si="54"/>
        <v>2.7150552015275816E+34</v>
      </c>
      <c r="M893" s="4">
        <f t="shared" si="55"/>
        <v>5.700903880477427E+41</v>
      </c>
    </row>
    <row r="894" spans="1:13" x14ac:dyDescent="0.2">
      <c r="A894" s="3">
        <f>StartYear+892</f>
        <v>2917</v>
      </c>
      <c r="B894" s="4">
        <f>FacultyFTE*HoursPerWeek*WeeksPerYear*RatePerHour*(1+PracticeGrowth)^892</f>
        <v>2.2921722904811714E+24</v>
      </c>
      <c r="C894" s="4">
        <f>StudentsY1*(1+StudentGrowth)^892*CreditsPerStudent*TuitionPerCredit</f>
        <v>1.4326076815507321E+25</v>
      </c>
      <c r="D894" s="4">
        <f>SimRevY1*(1+SimGrowth)^892</f>
        <v>4.1806630447874933E+41</v>
      </c>
      <c r="E894" s="4">
        <f>FacDevRevY1*(1+FacDevGrowth)^892</f>
        <v>2.0903315223937466E+41</v>
      </c>
      <c r="F894" s="4">
        <f t="shared" si="52"/>
        <v>6.2709945671812403E+41</v>
      </c>
      <c r="G894" s="4">
        <f t="shared" si="53"/>
        <v>6.2709945671812403E+41</v>
      </c>
      <c r="H894" s="4">
        <f>SalaryFTECount*SalaryPerFTE*(1+SalaryGrowth)^892</f>
        <v>3.2806352668016234E+20</v>
      </c>
      <c r="I894" s="4">
        <f>SimOpsY1*(1+SimOpsGrowth)^892</f>
        <v>1.9548396942969433E+34</v>
      </c>
      <c r="J894" s="4">
        <f>TrainDevY1*(1+TrainDevGrowth)^892</f>
        <v>9.7741984714847164E+33</v>
      </c>
      <c r="K894" s="4">
        <f>AdminY1*(1+AdminGrowth)^892</f>
        <v>7.4793147832836908E+26</v>
      </c>
      <c r="L894" s="4">
        <f t="shared" si="54"/>
        <v>2.9322596162385957E+34</v>
      </c>
      <c r="M894" s="4">
        <f t="shared" si="55"/>
        <v>6.2709942739552785E+41</v>
      </c>
    </row>
    <row r="895" spans="1:13" x14ac:dyDescent="0.2">
      <c r="A895" s="3">
        <f>StartYear+893</f>
        <v>2918</v>
      </c>
      <c r="B895" s="4">
        <f>FacultyFTE*HoursPerWeek*WeeksPerYear*RatePerHour*(1+PracticeGrowth)^893</f>
        <v>2.40678090500523E+24</v>
      </c>
      <c r="C895" s="4">
        <f>StudentsY1*(1+StudentGrowth)^893*CreditsPerStudent*TuitionPerCredit</f>
        <v>1.5042380656282688E+25</v>
      </c>
      <c r="D895" s="4">
        <f>SimRevY1*(1+SimGrowth)^893</f>
        <v>4.5987293492662444E+41</v>
      </c>
      <c r="E895" s="4">
        <f>FacDevRevY1*(1+FacDevGrowth)^893</f>
        <v>2.2993646746331222E+41</v>
      </c>
      <c r="F895" s="4">
        <f t="shared" si="52"/>
        <v>6.898094023899367E+41</v>
      </c>
      <c r="G895" s="4">
        <f t="shared" si="53"/>
        <v>6.898094023899367E+41</v>
      </c>
      <c r="H895" s="4">
        <f>SalaryFTECount*SalaryPerFTE*(1+SalaryGrowth)^893</f>
        <v>3.411860677473688E+20</v>
      </c>
      <c r="I895" s="4">
        <f>SimOpsY1*(1+SimOpsGrowth)^893</f>
        <v>2.1112268698406993E+34</v>
      </c>
      <c r="J895" s="4">
        <f>TrainDevY1*(1+TrainDevGrowth)^893</f>
        <v>1.0556134349203497E+34</v>
      </c>
      <c r="K895" s="4">
        <f>AdminY1*(1+AdminGrowth)^893</f>
        <v>7.9280736702807167E+26</v>
      </c>
      <c r="L895" s="4">
        <f t="shared" si="54"/>
        <v>3.1668403840418196E+34</v>
      </c>
      <c r="M895" s="4">
        <f t="shared" si="55"/>
        <v>6.8980937072153289E+41</v>
      </c>
    </row>
    <row r="896" spans="1:13" x14ac:dyDescent="0.2">
      <c r="A896" s="3">
        <f>StartYear+894</f>
        <v>2919</v>
      </c>
      <c r="B896" s="4">
        <f>FacultyFTE*HoursPerWeek*WeeksPerYear*RatePerHour*(1+PracticeGrowth)^894</f>
        <v>2.5271199502554906E+24</v>
      </c>
      <c r="C896" s="4">
        <f>StudentsY1*(1+StudentGrowth)^894*CreditsPerStudent*TuitionPerCredit</f>
        <v>1.5794499689096814E+25</v>
      </c>
      <c r="D896" s="4">
        <f>SimRevY1*(1+SimGrowth)^894</f>
        <v>5.05860228419287E+41</v>
      </c>
      <c r="E896" s="4">
        <f>FacDevRevY1*(1+FacDevGrowth)^894</f>
        <v>2.529301142096435E+41</v>
      </c>
      <c r="F896" s="4">
        <f t="shared" si="52"/>
        <v>7.5879034262893054E+41</v>
      </c>
      <c r="G896" s="4">
        <f t="shared" si="53"/>
        <v>7.5879034262893054E+41</v>
      </c>
      <c r="H896" s="4">
        <f>SalaryFTECount*SalaryPerFTE*(1+SalaryGrowth)^894</f>
        <v>3.5483351045726359E+20</v>
      </c>
      <c r="I896" s="4">
        <f>SimOpsY1*(1+SimOpsGrowth)^894</f>
        <v>2.2801250194279552E+34</v>
      </c>
      <c r="J896" s="4">
        <f>TrainDevY1*(1+TrainDevGrowth)^894</f>
        <v>1.1400625097139776E+34</v>
      </c>
      <c r="K896" s="4">
        <f>AdminY1*(1+AdminGrowth)^894</f>
        <v>8.4037580904975573E+26</v>
      </c>
      <c r="L896" s="4">
        <f t="shared" si="54"/>
        <v>3.4201876131795494E+34</v>
      </c>
      <c r="M896" s="4">
        <f t="shared" si="55"/>
        <v>7.5879030842705443E+41</v>
      </c>
    </row>
    <row r="897" spans="1:13" x14ac:dyDescent="0.2">
      <c r="A897" s="3">
        <f>StartYear+895</f>
        <v>2920</v>
      </c>
      <c r="B897" s="4">
        <f>FacultyFTE*HoursPerWeek*WeeksPerYear*RatePerHour*(1+PracticeGrowth)^895</f>
        <v>2.653475947768266E+24</v>
      </c>
      <c r="C897" s="4">
        <f>StudentsY1*(1+StudentGrowth)^895*CreditsPerStudent*TuitionPerCredit</f>
        <v>1.6584224673551665E+25</v>
      </c>
      <c r="D897" s="4">
        <f>SimRevY1*(1+SimGrowth)^895</f>
        <v>5.5644625126121559E+41</v>
      </c>
      <c r="E897" s="4">
        <f>FacDevRevY1*(1+FacDevGrowth)^895</f>
        <v>2.7822312563060779E+41</v>
      </c>
      <c r="F897" s="4">
        <f t="shared" si="52"/>
        <v>8.346693768918233E+41</v>
      </c>
      <c r="G897" s="4">
        <f t="shared" si="53"/>
        <v>8.346693768918233E+41</v>
      </c>
      <c r="H897" s="4">
        <f>SalaryFTECount*SalaryPerFTE*(1+SalaryGrowth)^895</f>
        <v>3.6902685087555407E+20</v>
      </c>
      <c r="I897" s="4">
        <f>SimOpsY1*(1+SimOpsGrowth)^895</f>
        <v>2.4625350209821922E+34</v>
      </c>
      <c r="J897" s="4">
        <f>TrainDevY1*(1+TrainDevGrowth)^895</f>
        <v>1.2312675104910961E+34</v>
      </c>
      <c r="K897" s="4">
        <f>AdminY1*(1+AdminGrowth)^895</f>
        <v>8.907983575927414E+26</v>
      </c>
      <c r="L897" s="4">
        <f t="shared" si="54"/>
        <v>3.693802620553161E+34</v>
      </c>
      <c r="M897" s="4">
        <f t="shared" si="55"/>
        <v>8.3466933995379703E+41</v>
      </c>
    </row>
    <row r="898" spans="1:13" x14ac:dyDescent="0.2">
      <c r="A898" s="3">
        <f>StartYear+896</f>
        <v>2921</v>
      </c>
      <c r="B898" s="4">
        <f>FacultyFTE*HoursPerWeek*WeeksPerYear*RatePerHour*(1+PracticeGrowth)^896</f>
        <v>2.7861497451566794E+24</v>
      </c>
      <c r="C898" s="4">
        <f>StudentsY1*(1+StudentGrowth)^896*CreditsPerStudent*TuitionPerCredit</f>
        <v>1.7413435907229246E+25</v>
      </c>
      <c r="D898" s="4">
        <f>SimRevY1*(1+SimGrowth)^896</f>
        <v>6.1209087638733711E+41</v>
      </c>
      <c r="E898" s="4">
        <f>FacDevRevY1*(1+FacDevGrowth)^896</f>
        <v>3.0604543819366856E+41</v>
      </c>
      <c r="F898" s="4">
        <f t="shared" ref="F898:F961" si="56">C898+D898+E898</f>
        <v>9.1813631458100563E+41</v>
      </c>
      <c r="G898" s="4">
        <f t="shared" ref="G898:G961" si="57">B898+F898</f>
        <v>9.1813631458100563E+41</v>
      </c>
      <c r="H898" s="4">
        <f>SalaryFTECount*SalaryPerFTE*(1+SalaryGrowth)^896</f>
        <v>3.8378792491057637E+20</v>
      </c>
      <c r="I898" s="4">
        <f>SimOpsY1*(1+SimOpsGrowth)^896</f>
        <v>2.6595378226607676E+34</v>
      </c>
      <c r="J898" s="4">
        <f>TrainDevY1*(1+TrainDevGrowth)^896</f>
        <v>1.3297689113303838E+34</v>
      </c>
      <c r="K898" s="4">
        <f>AdminY1*(1+AdminGrowth)^896</f>
        <v>9.4424625904830563E+26</v>
      </c>
      <c r="L898" s="4">
        <f t="shared" ref="L898:L961" si="58">SUM(H898:K898)</f>
        <v>3.9893068284158154E+34</v>
      </c>
      <c r="M898" s="4">
        <f t="shared" ref="M898:M961" si="59">G898-L898</f>
        <v>9.1813627468793741E+41</v>
      </c>
    </row>
    <row r="899" spans="1:13" x14ac:dyDescent="0.2">
      <c r="A899" s="3">
        <f>StartYear+897</f>
        <v>2922</v>
      </c>
      <c r="B899" s="4">
        <f>FacultyFTE*HoursPerWeek*WeeksPerYear*RatePerHour*(1+PracticeGrowth)^897</f>
        <v>2.9254572324145135E+24</v>
      </c>
      <c r="C899" s="4">
        <f>StudentsY1*(1+StudentGrowth)^897*CreditsPerStudent*TuitionPerCredit</f>
        <v>1.8284107702590708E+25</v>
      </c>
      <c r="D899" s="4">
        <f>SimRevY1*(1+SimGrowth)^897</f>
        <v>6.7329996402607099E+41</v>
      </c>
      <c r="E899" s="4">
        <f>FacDevRevY1*(1+FacDevGrowth)^897</f>
        <v>3.3664998201303549E+41</v>
      </c>
      <c r="F899" s="4">
        <f t="shared" si="56"/>
        <v>1.0099499460391064E+42</v>
      </c>
      <c r="G899" s="4">
        <f t="shared" si="57"/>
        <v>1.0099499460391064E+42</v>
      </c>
      <c r="H899" s="4">
        <f>SalaryFTECount*SalaryPerFTE*(1+SalaryGrowth)^897</f>
        <v>3.9913944190699943E+20</v>
      </c>
      <c r="I899" s="4">
        <f>SimOpsY1*(1+SimOpsGrowth)^897</f>
        <v>2.8723008484736288E+34</v>
      </c>
      <c r="J899" s="4">
        <f>TrainDevY1*(1+TrainDevGrowth)^897</f>
        <v>1.4361504242368144E+34</v>
      </c>
      <c r="K899" s="4">
        <f>AdminY1*(1+AdminGrowth)^897</f>
        <v>1.000901034591204E+27</v>
      </c>
      <c r="L899" s="4">
        <f t="shared" si="58"/>
        <v>4.3084513728005866E+34</v>
      </c>
      <c r="M899" s="4">
        <f t="shared" si="59"/>
        <v>1.0099499029545927E+42</v>
      </c>
    </row>
    <row r="900" spans="1:13" x14ac:dyDescent="0.2">
      <c r="A900" s="3">
        <f>StartYear+898</f>
        <v>2923</v>
      </c>
      <c r="B900" s="4">
        <f>FacultyFTE*HoursPerWeek*WeeksPerYear*RatePerHour*(1+PracticeGrowth)^898</f>
        <v>3.0717300940352393E+24</v>
      </c>
      <c r="C900" s="4">
        <f>StudentsY1*(1+StudentGrowth)^898*CreditsPerStudent*TuitionPerCredit</f>
        <v>1.9198313087720245E+25</v>
      </c>
      <c r="D900" s="4">
        <f>SimRevY1*(1+SimGrowth)^898</f>
        <v>7.4062996042867817E+41</v>
      </c>
      <c r="E900" s="4">
        <f>FacDevRevY1*(1+FacDevGrowth)^898</f>
        <v>3.7031498021433909E+41</v>
      </c>
      <c r="F900" s="4">
        <f t="shared" si="56"/>
        <v>1.1109449406430172E+42</v>
      </c>
      <c r="G900" s="4">
        <f t="shared" si="57"/>
        <v>1.1109449406430172E+42</v>
      </c>
      <c r="H900" s="4">
        <f>SalaryFTECount*SalaryPerFTE*(1+SalaryGrowth)^898</f>
        <v>4.151050195832794E+20</v>
      </c>
      <c r="I900" s="4">
        <f>SimOpsY1*(1+SimOpsGrowth)^898</f>
        <v>3.1020849163515193E+34</v>
      </c>
      <c r="J900" s="4">
        <f>TrainDevY1*(1+TrainDevGrowth)^898</f>
        <v>1.5510424581757596E+34</v>
      </c>
      <c r="K900" s="4">
        <f>AdminY1*(1+AdminGrowth)^898</f>
        <v>1.0609550966666763E+27</v>
      </c>
      <c r="L900" s="4">
        <f t="shared" si="58"/>
        <v>4.6531274806228298E+34</v>
      </c>
      <c r="M900" s="4">
        <f t="shared" si="59"/>
        <v>1.1109448941117423E+42</v>
      </c>
    </row>
    <row r="901" spans="1:13" x14ac:dyDescent="0.2">
      <c r="A901" s="3">
        <f>StartYear+899</f>
        <v>2924</v>
      </c>
      <c r="B901" s="4">
        <f>FacultyFTE*HoursPerWeek*WeeksPerYear*RatePerHour*(1+PracticeGrowth)^899</f>
        <v>3.225316598737001E+24</v>
      </c>
      <c r="C901" s="4">
        <f>StudentsY1*(1+StudentGrowth)^899*CreditsPerStudent*TuitionPerCredit</f>
        <v>2.0158228742106259E+25</v>
      </c>
      <c r="D901" s="4">
        <f>SimRevY1*(1+SimGrowth)^899</f>
        <v>8.1469295647154603E+41</v>
      </c>
      <c r="E901" s="4">
        <f>FacDevRevY1*(1+FacDevGrowth)^899</f>
        <v>4.0734647823577302E+41</v>
      </c>
      <c r="F901" s="4">
        <f t="shared" si="56"/>
        <v>1.2220394347073191E+42</v>
      </c>
      <c r="G901" s="4">
        <f t="shared" si="57"/>
        <v>1.2220394347073191E+42</v>
      </c>
      <c r="H901" s="4">
        <f>SalaryFTECount*SalaryPerFTE*(1+SalaryGrowth)^899</f>
        <v>4.3170922036661066E+20</v>
      </c>
      <c r="I901" s="4">
        <f>SimOpsY1*(1+SimOpsGrowth)^899</f>
        <v>3.3502517096596413E+34</v>
      </c>
      <c r="J901" s="4">
        <f>TrainDevY1*(1+TrainDevGrowth)^899</f>
        <v>1.6751258548298206E+34</v>
      </c>
      <c r="K901" s="4">
        <f>AdminY1*(1+AdminGrowth)^899</f>
        <v>1.124612402466677E+27</v>
      </c>
      <c r="L901" s="4">
        <f t="shared" si="58"/>
        <v>5.0253776769507457E+34</v>
      </c>
      <c r="M901" s="4">
        <f t="shared" si="59"/>
        <v>1.2220393844535422E+42</v>
      </c>
    </row>
    <row r="902" spans="1:13" x14ac:dyDescent="0.2">
      <c r="A902" s="3">
        <f>StartYear+900</f>
        <v>2925</v>
      </c>
      <c r="B902" s="4">
        <f>FacultyFTE*HoursPerWeek*WeeksPerYear*RatePerHour*(1+PracticeGrowth)^900</f>
        <v>3.386582428673851E+24</v>
      </c>
      <c r="C902" s="4">
        <f>StudentsY1*(1+StudentGrowth)^900*CreditsPerStudent*TuitionPerCredit</f>
        <v>2.1166140179211569E+25</v>
      </c>
      <c r="D902" s="4">
        <f>SimRevY1*(1+SimGrowth)^900</f>
        <v>8.9616225211870064E+41</v>
      </c>
      <c r="E902" s="4">
        <f>FacDevRevY1*(1+FacDevGrowth)^900</f>
        <v>4.4808112605935032E+41</v>
      </c>
      <c r="F902" s="4">
        <f t="shared" si="56"/>
        <v>1.344243378178051E+42</v>
      </c>
      <c r="G902" s="4">
        <f t="shared" si="57"/>
        <v>1.344243378178051E+42</v>
      </c>
      <c r="H902" s="4">
        <f>SalaryFTECount*SalaryPerFTE*(1+SalaryGrowth)^900</f>
        <v>4.4897758918127505E+20</v>
      </c>
      <c r="I902" s="4">
        <f>SimOpsY1*(1+SimOpsGrowth)^900</f>
        <v>3.6182718464324133E+34</v>
      </c>
      <c r="J902" s="4">
        <f>TrainDevY1*(1+TrainDevGrowth)^900</f>
        <v>1.8091359232162067E+34</v>
      </c>
      <c r="K902" s="4">
        <f>AdminY1*(1+AdminGrowth)^900</f>
        <v>1.1920891466146773E+27</v>
      </c>
      <c r="L902" s="4">
        <f t="shared" si="58"/>
        <v>5.4274078888575787E+34</v>
      </c>
      <c r="M902" s="4">
        <f t="shared" si="59"/>
        <v>1.3442433239039721E+42</v>
      </c>
    </row>
    <row r="903" spans="1:13" x14ac:dyDescent="0.2">
      <c r="A903" s="3">
        <f>StartYear+901</f>
        <v>2926</v>
      </c>
      <c r="B903" s="4">
        <f>FacultyFTE*HoursPerWeek*WeeksPerYear*RatePerHour*(1+PracticeGrowth)^901</f>
        <v>3.5559115501075445E+24</v>
      </c>
      <c r="C903" s="4">
        <f>StudentsY1*(1+StudentGrowth)^901*CreditsPerStudent*TuitionPerCredit</f>
        <v>2.2224447188172151E+25</v>
      </c>
      <c r="D903" s="4">
        <f>SimRevY1*(1+SimGrowth)^901</f>
        <v>9.8577847733057082E+41</v>
      </c>
      <c r="E903" s="4">
        <f>FacDevRevY1*(1+FacDevGrowth)^901</f>
        <v>4.9288923866528541E+41</v>
      </c>
      <c r="F903" s="4">
        <f t="shared" si="56"/>
        <v>1.4786677159958562E+42</v>
      </c>
      <c r="G903" s="4">
        <f t="shared" si="57"/>
        <v>1.4786677159958562E+42</v>
      </c>
      <c r="H903" s="4">
        <f>SalaryFTECount*SalaryPerFTE*(1+SalaryGrowth)^901</f>
        <v>4.6693669274852609E+20</v>
      </c>
      <c r="I903" s="4">
        <f>SimOpsY1*(1+SimOpsGrowth)^901</f>
        <v>3.9077335941470066E+34</v>
      </c>
      <c r="J903" s="4">
        <f>TrainDevY1*(1+TrainDevGrowth)^901</f>
        <v>1.9538667970735033E+34</v>
      </c>
      <c r="K903" s="4">
        <f>AdminY1*(1+AdminGrowth)^901</f>
        <v>1.2636144954115584E+27</v>
      </c>
      <c r="L903" s="4">
        <f t="shared" si="58"/>
        <v>5.8616005175820059E+34</v>
      </c>
      <c r="M903" s="4">
        <f t="shared" si="59"/>
        <v>1.4786676573798509E+42</v>
      </c>
    </row>
    <row r="904" spans="1:13" x14ac:dyDescent="0.2">
      <c r="A904" s="3">
        <f>StartYear+902</f>
        <v>2927</v>
      </c>
      <c r="B904" s="4">
        <f>FacultyFTE*HoursPerWeek*WeeksPerYear*RatePerHour*(1+PracticeGrowth)^902</f>
        <v>3.7337071276129204E+24</v>
      </c>
      <c r="C904" s="4">
        <f>StudentsY1*(1+StudentGrowth)^902*CreditsPerStudent*TuitionPerCredit</f>
        <v>2.3335669547580751E+25</v>
      </c>
      <c r="D904" s="4">
        <f>SimRevY1*(1+SimGrowth)^902</f>
        <v>1.0843563250636281E+42</v>
      </c>
      <c r="E904" s="4">
        <f>FacDevRevY1*(1+FacDevGrowth)^902</f>
        <v>5.4217816253181403E+41</v>
      </c>
      <c r="F904" s="4">
        <f t="shared" si="56"/>
        <v>1.6265344875954422E+42</v>
      </c>
      <c r="G904" s="4">
        <f t="shared" si="57"/>
        <v>1.6265344875954422E+42</v>
      </c>
      <c r="H904" s="4">
        <f>SalaryFTECount*SalaryPerFTE*(1+SalaryGrowth)^902</f>
        <v>4.8561416045846718E+20</v>
      </c>
      <c r="I904" s="4">
        <f>SimOpsY1*(1+SimOpsGrowth)^902</f>
        <v>4.2203522816787663E+34</v>
      </c>
      <c r="J904" s="4">
        <f>TrainDevY1*(1+TrainDevGrowth)^902</f>
        <v>2.1101761408393832E+34</v>
      </c>
      <c r="K904" s="4">
        <f>AdminY1*(1+AdminGrowth)^902</f>
        <v>1.3394313651362518E+27</v>
      </c>
      <c r="L904" s="4">
        <f t="shared" si="58"/>
        <v>6.3305285564613353E+34</v>
      </c>
      <c r="M904" s="4">
        <f t="shared" si="59"/>
        <v>1.6265344242901565E+42</v>
      </c>
    </row>
    <row r="905" spans="1:13" x14ac:dyDescent="0.2">
      <c r="A905" s="3">
        <f>StartYear+903</f>
        <v>2928</v>
      </c>
      <c r="B905" s="4">
        <f>FacultyFTE*HoursPerWeek*WeeksPerYear*RatePerHour*(1+PracticeGrowth)^903</f>
        <v>3.920392483993567E+24</v>
      </c>
      <c r="C905" s="4">
        <f>StudentsY1*(1+StudentGrowth)^903*CreditsPerStudent*TuitionPerCredit</f>
        <v>2.4502453024959795E+25</v>
      </c>
      <c r="D905" s="4">
        <f>SimRevY1*(1+SimGrowth)^903</f>
        <v>1.1927919575699909E+42</v>
      </c>
      <c r="E905" s="4">
        <f>FacDevRevY1*(1+FacDevGrowth)^903</f>
        <v>5.9639597878499546E+41</v>
      </c>
      <c r="F905" s="4">
        <f t="shared" si="56"/>
        <v>1.7891879363549863E+42</v>
      </c>
      <c r="G905" s="4">
        <f t="shared" si="57"/>
        <v>1.7891879363549863E+42</v>
      </c>
      <c r="H905" s="4">
        <f>SalaryFTECount*SalaryPerFTE*(1+SalaryGrowth)^903</f>
        <v>5.0503872687680579E+20</v>
      </c>
      <c r="I905" s="4">
        <f>SimOpsY1*(1+SimOpsGrowth)^903</f>
        <v>4.5579804642130686E+34</v>
      </c>
      <c r="J905" s="4">
        <f>TrainDevY1*(1+TrainDevGrowth)^903</f>
        <v>2.2789902321065343E+34</v>
      </c>
      <c r="K905" s="4">
        <f>AdminY1*(1+AdminGrowth)^903</f>
        <v>1.4197972470444271E+27</v>
      </c>
      <c r="L905" s="4">
        <f t="shared" si="58"/>
        <v>6.8369708382993779E+34</v>
      </c>
      <c r="M905" s="4">
        <f t="shared" si="59"/>
        <v>1.789187867985278E+42</v>
      </c>
    </row>
    <row r="906" spans="1:13" x14ac:dyDescent="0.2">
      <c r="A906" s="3">
        <f>StartYear+904</f>
        <v>2929</v>
      </c>
      <c r="B906" s="4">
        <f>FacultyFTE*HoursPerWeek*WeeksPerYear*RatePerHour*(1+PracticeGrowth)^904</f>
        <v>4.1164121081932459E+24</v>
      </c>
      <c r="C906" s="4">
        <f>StudentsY1*(1+StudentGrowth)^904*CreditsPerStudent*TuitionPerCredit</f>
        <v>2.5727575676207782E+25</v>
      </c>
      <c r="D906" s="4">
        <f>SimRevY1*(1+SimGrowth)^904</f>
        <v>1.3120711533269901E+42</v>
      </c>
      <c r="E906" s="4">
        <f>FacDevRevY1*(1+FacDevGrowth)^904</f>
        <v>6.5603557666349504E+41</v>
      </c>
      <c r="F906" s="4">
        <f t="shared" si="56"/>
        <v>1.9681067299904852E+42</v>
      </c>
      <c r="G906" s="4">
        <f t="shared" si="57"/>
        <v>1.9681067299904852E+42</v>
      </c>
      <c r="H906" s="4">
        <f>SalaryFTECount*SalaryPerFTE*(1+SalaryGrowth)^904</f>
        <v>5.2524027595187808E+20</v>
      </c>
      <c r="I906" s="4">
        <f>SimOpsY1*(1+SimOpsGrowth)^904</f>
        <v>4.9226189013501134E+34</v>
      </c>
      <c r="J906" s="4">
        <f>TrainDevY1*(1+TrainDevGrowth)^904</f>
        <v>2.4613094506750567E+34</v>
      </c>
      <c r="K906" s="4">
        <f>AdminY1*(1+AdminGrowth)^904</f>
        <v>1.5049850818670925E+27</v>
      </c>
      <c r="L906" s="4">
        <f t="shared" si="58"/>
        <v>7.3839285025237313E+34</v>
      </c>
      <c r="M906" s="4">
        <f t="shared" si="59"/>
        <v>1.9681066561512001E+42</v>
      </c>
    </row>
    <row r="907" spans="1:13" x14ac:dyDescent="0.2">
      <c r="A907" s="3">
        <f>StartYear+905</f>
        <v>2930</v>
      </c>
      <c r="B907" s="4">
        <f>FacultyFTE*HoursPerWeek*WeeksPerYear*RatePerHour*(1+PracticeGrowth)^905</f>
        <v>4.3222327136029075E+24</v>
      </c>
      <c r="C907" s="4">
        <f>StudentsY1*(1+StudentGrowth)^905*CreditsPerStudent*TuitionPerCredit</f>
        <v>2.7013954460018171E+25</v>
      </c>
      <c r="D907" s="4">
        <f>SimRevY1*(1+SimGrowth)^905</f>
        <v>1.4432782686596891E+42</v>
      </c>
      <c r="E907" s="4">
        <f>FacDevRevY1*(1+FacDevGrowth)^905</f>
        <v>7.2163913432984455E+41</v>
      </c>
      <c r="F907" s="4">
        <f t="shared" si="56"/>
        <v>2.1649174029895335E+42</v>
      </c>
      <c r="G907" s="4">
        <f t="shared" si="57"/>
        <v>2.1649174029895335E+42</v>
      </c>
      <c r="H907" s="4">
        <f>SalaryFTECount*SalaryPerFTE*(1+SalaryGrowth)^905</f>
        <v>5.4624988698995327E+20</v>
      </c>
      <c r="I907" s="4">
        <f>SimOpsY1*(1+SimOpsGrowth)^905</f>
        <v>5.3164284134581234E+34</v>
      </c>
      <c r="J907" s="4">
        <f>TrainDevY1*(1+TrainDevGrowth)^905</f>
        <v>2.6582142067290617E+34</v>
      </c>
      <c r="K907" s="4">
        <f>AdminY1*(1+AdminGrowth)^905</f>
        <v>1.595284186779118E+27</v>
      </c>
      <c r="L907" s="4">
        <f t="shared" si="58"/>
        <v>7.9746427797156577E+34</v>
      </c>
      <c r="M907" s="4">
        <f t="shared" si="59"/>
        <v>2.1649173232431058E+42</v>
      </c>
    </row>
    <row r="908" spans="1:13" x14ac:dyDescent="0.2">
      <c r="A908" s="3">
        <f>StartYear+906</f>
        <v>2931</v>
      </c>
      <c r="B908" s="4">
        <f>FacultyFTE*HoursPerWeek*WeeksPerYear*RatePerHour*(1+PracticeGrowth)^906</f>
        <v>4.5383443492830536E+24</v>
      </c>
      <c r="C908" s="4">
        <f>StudentsY1*(1+StudentGrowth)^906*CreditsPerStudent*TuitionPerCredit</f>
        <v>2.8364652183019081E+25</v>
      </c>
      <c r="D908" s="4">
        <f>SimRevY1*(1+SimGrowth)^906</f>
        <v>1.5876060955256582E+42</v>
      </c>
      <c r="E908" s="4">
        <f>FacDevRevY1*(1+FacDevGrowth)^906</f>
        <v>7.9380304776282909E+41</v>
      </c>
      <c r="F908" s="4">
        <f t="shared" si="56"/>
        <v>2.3814091432884874E+42</v>
      </c>
      <c r="G908" s="4">
        <f t="shared" si="57"/>
        <v>2.3814091432884874E+42</v>
      </c>
      <c r="H908" s="4">
        <f>SalaryFTECount*SalaryPerFTE*(1+SalaryGrowth)^906</f>
        <v>5.6809988246955144E+20</v>
      </c>
      <c r="I908" s="4">
        <f>SimOpsY1*(1+SimOpsGrowth)^906</f>
        <v>5.7417426865347743E+34</v>
      </c>
      <c r="J908" s="4">
        <f>TrainDevY1*(1+TrainDevGrowth)^906</f>
        <v>2.8708713432673872E+34</v>
      </c>
      <c r="K908" s="4">
        <f>AdminY1*(1+AdminGrowth)^906</f>
        <v>1.6910012379858656E+27</v>
      </c>
      <c r="L908" s="4">
        <f t="shared" si="58"/>
        <v>8.6126141989023424E+34</v>
      </c>
      <c r="M908" s="4">
        <f t="shared" si="59"/>
        <v>2.3814090571623454E+42</v>
      </c>
    </row>
    <row r="909" spans="1:13" x14ac:dyDescent="0.2">
      <c r="A909" s="3">
        <f>StartYear+907</f>
        <v>2932</v>
      </c>
      <c r="B909" s="4">
        <f>FacultyFTE*HoursPerWeek*WeeksPerYear*RatePerHour*(1+PracticeGrowth)^907</f>
        <v>4.7652615667472062E+24</v>
      </c>
      <c r="C909" s="4">
        <f>StudentsY1*(1+StudentGrowth)^907*CreditsPerStudent*TuitionPerCredit</f>
        <v>2.9782884792170037E+25</v>
      </c>
      <c r="D909" s="4">
        <f>SimRevY1*(1+SimGrowth)^907</f>
        <v>1.746366705078224E+42</v>
      </c>
      <c r="E909" s="4">
        <f>FacDevRevY1*(1+FacDevGrowth)^907</f>
        <v>8.7318335253911198E+41</v>
      </c>
      <c r="F909" s="4">
        <f t="shared" si="56"/>
        <v>2.6195500576173358E+42</v>
      </c>
      <c r="G909" s="4">
        <f t="shared" si="57"/>
        <v>2.6195500576173358E+42</v>
      </c>
      <c r="H909" s="4">
        <f>SalaryFTECount*SalaryPerFTE*(1+SalaryGrowth)^907</f>
        <v>5.9082387776833349E+20</v>
      </c>
      <c r="I909" s="4">
        <f>SimOpsY1*(1+SimOpsGrowth)^907</f>
        <v>6.2010821014575556E+34</v>
      </c>
      <c r="J909" s="4">
        <f>TrainDevY1*(1+TrainDevGrowth)^907</f>
        <v>3.1005410507287778E+34</v>
      </c>
      <c r="K909" s="4">
        <f>AdminY1*(1+AdminGrowth)^907</f>
        <v>1.7924613122650176E+27</v>
      </c>
      <c r="L909" s="4">
        <f t="shared" si="58"/>
        <v>9.3016233314325224E+34</v>
      </c>
      <c r="M909" s="4">
        <f t="shared" si="59"/>
        <v>2.6195499646011023E+42</v>
      </c>
    </row>
    <row r="910" spans="1:13" x14ac:dyDescent="0.2">
      <c r="A910" s="3">
        <f>StartYear+908</f>
        <v>2933</v>
      </c>
      <c r="B910" s="4">
        <f>FacultyFTE*HoursPerWeek*WeeksPerYear*RatePerHour*(1+PracticeGrowth)^908</f>
        <v>5.0035246450845656E+24</v>
      </c>
      <c r="C910" s="4">
        <f>StudentsY1*(1+StudentGrowth)^908*CreditsPerStudent*TuitionPerCredit</f>
        <v>3.127202903177854E+25</v>
      </c>
      <c r="D910" s="4">
        <f>SimRevY1*(1+SimGrowth)^908</f>
        <v>1.9210033755860465E+42</v>
      </c>
      <c r="E910" s="4">
        <f>FacDevRevY1*(1+FacDevGrowth)^908</f>
        <v>9.6050168779302325E+41</v>
      </c>
      <c r="F910" s="4">
        <f t="shared" si="56"/>
        <v>2.8815050633790699E+42</v>
      </c>
      <c r="G910" s="4">
        <f t="shared" si="57"/>
        <v>2.8815050633790699E+42</v>
      </c>
      <c r="H910" s="4">
        <f>SalaryFTECount*SalaryPerFTE*(1+SalaryGrowth)^908</f>
        <v>6.14456832879067E+20</v>
      </c>
      <c r="I910" s="4">
        <f>SimOpsY1*(1+SimOpsGrowth)^908</f>
        <v>6.6971686695741603E+34</v>
      </c>
      <c r="J910" s="4">
        <f>TrainDevY1*(1+TrainDevGrowth)^908</f>
        <v>3.3485843347870802E+34</v>
      </c>
      <c r="K910" s="4">
        <f>AdminY1*(1+AdminGrowth)^908</f>
        <v>1.9000089910009186E+27</v>
      </c>
      <c r="L910" s="4">
        <f t="shared" si="58"/>
        <v>1.0045753194362203E+35</v>
      </c>
      <c r="M910" s="4">
        <f t="shared" si="59"/>
        <v>2.881504962921538E+42</v>
      </c>
    </row>
    <row r="911" spans="1:13" x14ac:dyDescent="0.2">
      <c r="A911" s="3">
        <f>StartYear+909</f>
        <v>2934</v>
      </c>
      <c r="B911" s="4">
        <f>FacultyFTE*HoursPerWeek*WeeksPerYear*RatePerHour*(1+PracticeGrowth)^909</f>
        <v>5.2537008773387952E+24</v>
      </c>
      <c r="C911" s="4">
        <f>StudentsY1*(1+StudentGrowth)^909*CreditsPerStudent*TuitionPerCredit</f>
        <v>3.2835630483367468E+25</v>
      </c>
      <c r="D911" s="4">
        <f>SimRevY1*(1+SimGrowth)^909</f>
        <v>2.1131037131446513E+42</v>
      </c>
      <c r="E911" s="4">
        <f>FacDevRevY1*(1+FacDevGrowth)^909</f>
        <v>1.0565518565723257E+42</v>
      </c>
      <c r="F911" s="4">
        <f t="shared" si="56"/>
        <v>3.169655569716977E+42</v>
      </c>
      <c r="G911" s="4">
        <f t="shared" si="57"/>
        <v>3.169655569716977E+42</v>
      </c>
      <c r="H911" s="4">
        <f>SalaryFTECount*SalaryPerFTE*(1+SalaryGrowth)^909</f>
        <v>6.3903510619422956E+20</v>
      </c>
      <c r="I911" s="4">
        <f>SimOpsY1*(1+SimOpsGrowth)^909</f>
        <v>7.2329421631400933E+34</v>
      </c>
      <c r="J911" s="4">
        <f>TrainDevY1*(1+TrainDevGrowth)^909</f>
        <v>3.6164710815700467E+34</v>
      </c>
      <c r="K911" s="4">
        <f>AdminY1*(1+AdminGrowth)^909</f>
        <v>2.014009530460974E+27</v>
      </c>
      <c r="L911" s="4">
        <f t="shared" si="58"/>
        <v>1.0849413446111155E+35</v>
      </c>
      <c r="M911" s="4">
        <f t="shared" si="59"/>
        <v>3.1696554612228423E+42</v>
      </c>
    </row>
    <row r="912" spans="1:13" x14ac:dyDescent="0.2">
      <c r="A912" s="3">
        <f>StartYear+910</f>
        <v>2935</v>
      </c>
      <c r="B912" s="4">
        <f>FacultyFTE*HoursPerWeek*WeeksPerYear*RatePerHour*(1+PracticeGrowth)^910</f>
        <v>5.5163859212057336E+24</v>
      </c>
      <c r="C912" s="4">
        <f>StudentsY1*(1+StudentGrowth)^910*CreditsPerStudent*TuitionPerCredit</f>
        <v>3.447741200753584E+25</v>
      </c>
      <c r="D912" s="4">
        <f>SimRevY1*(1+SimGrowth)^910</f>
        <v>2.324414084459117E+42</v>
      </c>
      <c r="E912" s="4">
        <f>FacDevRevY1*(1+FacDevGrowth)^910</f>
        <v>1.1622070422295585E+42</v>
      </c>
      <c r="F912" s="4">
        <f t="shared" si="56"/>
        <v>3.4866211266886753E+42</v>
      </c>
      <c r="G912" s="4">
        <f t="shared" si="57"/>
        <v>3.4866211266886753E+42</v>
      </c>
      <c r="H912" s="4">
        <f>SalaryFTECount*SalaryPerFTE*(1+SalaryGrowth)^910</f>
        <v>6.6459651044199878E+20</v>
      </c>
      <c r="I912" s="4">
        <f>SimOpsY1*(1+SimOpsGrowth)^910</f>
        <v>7.8115775361913022E+34</v>
      </c>
      <c r="J912" s="4">
        <f>TrainDevY1*(1+TrainDevGrowth)^910</f>
        <v>3.9057887680956511E+34</v>
      </c>
      <c r="K912" s="4">
        <f>AdminY1*(1+AdminGrowth)^910</f>
        <v>2.1348501022886329E+27</v>
      </c>
      <c r="L912" s="4">
        <f t="shared" si="58"/>
        <v>1.1717366517772029E+35</v>
      </c>
      <c r="M912" s="4">
        <f t="shared" si="59"/>
        <v>3.4866210095150101E+42</v>
      </c>
    </row>
    <row r="913" spans="1:13" x14ac:dyDescent="0.2">
      <c r="A913" s="3">
        <f>StartYear+911</f>
        <v>2936</v>
      </c>
      <c r="B913" s="4">
        <f>FacultyFTE*HoursPerWeek*WeeksPerYear*RatePerHour*(1+PracticeGrowth)^911</f>
        <v>5.7922052172660223E+24</v>
      </c>
      <c r="C913" s="4">
        <f>StudentsY1*(1+StudentGrowth)^911*CreditsPerStudent*TuitionPerCredit</f>
        <v>3.620128260791264E+25</v>
      </c>
      <c r="D913" s="4">
        <f>SimRevY1*(1+SimGrowth)^911</f>
        <v>2.5568554929050286E+42</v>
      </c>
      <c r="E913" s="4">
        <f>FacDevRevY1*(1+FacDevGrowth)^911</f>
        <v>1.2784277464525143E+42</v>
      </c>
      <c r="F913" s="4">
        <f t="shared" si="56"/>
        <v>3.8352832393575431E+42</v>
      </c>
      <c r="G913" s="4">
        <f t="shared" si="57"/>
        <v>3.8352832393575431E+42</v>
      </c>
      <c r="H913" s="4">
        <f>SalaryFTECount*SalaryPerFTE*(1+SalaryGrowth)^911</f>
        <v>6.9118037085967876E+20</v>
      </c>
      <c r="I913" s="4">
        <f>SimOpsY1*(1+SimOpsGrowth)^911</f>
        <v>8.4365037390866065E+34</v>
      </c>
      <c r="J913" s="4">
        <f>TrainDevY1*(1+TrainDevGrowth)^911</f>
        <v>4.2182518695433032E+34</v>
      </c>
      <c r="K913" s="4">
        <f>AdminY1*(1+AdminGrowth)^911</f>
        <v>2.262941108425951E+27</v>
      </c>
      <c r="L913" s="4">
        <f t="shared" si="58"/>
        <v>1.2654755834924088E+35</v>
      </c>
      <c r="M913" s="4">
        <f t="shared" si="59"/>
        <v>3.8352831128099848E+42</v>
      </c>
    </row>
    <row r="914" spans="1:13" x14ac:dyDescent="0.2">
      <c r="A914" s="3">
        <f>StartYear+912</f>
        <v>2937</v>
      </c>
      <c r="B914" s="4">
        <f>FacultyFTE*HoursPerWeek*WeeksPerYear*RatePerHour*(1+PracticeGrowth)^912</f>
        <v>6.0818154781293213E+24</v>
      </c>
      <c r="C914" s="4">
        <f>StudentsY1*(1+StudentGrowth)^912*CreditsPerStudent*TuitionPerCredit</f>
        <v>3.8011346738308264E+25</v>
      </c>
      <c r="D914" s="4">
        <f>SimRevY1*(1+SimGrowth)^912</f>
        <v>2.8125410421955313E+42</v>
      </c>
      <c r="E914" s="4">
        <f>FacDevRevY1*(1+FacDevGrowth)^912</f>
        <v>1.4062705210977656E+42</v>
      </c>
      <c r="F914" s="4">
        <f t="shared" si="56"/>
        <v>4.2188115632932966E+42</v>
      </c>
      <c r="G914" s="4">
        <f t="shared" si="57"/>
        <v>4.2188115632932966E+42</v>
      </c>
      <c r="H914" s="4">
        <f>SalaryFTECount*SalaryPerFTE*(1+SalaryGrowth)^912</f>
        <v>7.1882758569406589E+20</v>
      </c>
      <c r="I914" s="4">
        <f>SimOpsY1*(1+SimOpsGrowth)^912</f>
        <v>9.1114240382135365E+34</v>
      </c>
      <c r="J914" s="4">
        <f>TrainDevY1*(1+TrainDevGrowth)^912</f>
        <v>4.5557120191067682E+34</v>
      </c>
      <c r="K914" s="4">
        <f>AdminY1*(1+AdminGrowth)^912</f>
        <v>2.3987175749315074E+27</v>
      </c>
      <c r="L914" s="4">
        <f t="shared" si="58"/>
        <v>1.3667136297192134E+35</v>
      </c>
      <c r="M914" s="4">
        <f t="shared" si="59"/>
        <v>4.2188114266219333E+42</v>
      </c>
    </row>
    <row r="915" spans="1:13" x14ac:dyDescent="0.2">
      <c r="A915" s="3">
        <f>StartYear+913</f>
        <v>2938</v>
      </c>
      <c r="B915" s="4">
        <f>FacultyFTE*HoursPerWeek*WeeksPerYear*RatePerHour*(1+PracticeGrowth)^913</f>
        <v>6.3859062520357902E+24</v>
      </c>
      <c r="C915" s="4">
        <f>StudentsY1*(1+StudentGrowth)^913*CreditsPerStudent*TuitionPerCredit</f>
        <v>3.9911914075223688E+25</v>
      </c>
      <c r="D915" s="4">
        <f>SimRevY1*(1+SimGrowth)^913</f>
        <v>3.0937951464150847E+42</v>
      </c>
      <c r="E915" s="4">
        <f>FacDevRevY1*(1+FacDevGrowth)^913</f>
        <v>1.5468975732075423E+42</v>
      </c>
      <c r="F915" s="4">
        <f t="shared" si="56"/>
        <v>4.6406927196226267E+42</v>
      </c>
      <c r="G915" s="4">
        <f t="shared" si="57"/>
        <v>4.6406927196226267E+42</v>
      </c>
      <c r="H915" s="4">
        <f>SalaryFTECount*SalaryPerFTE*(1+SalaryGrowth)^913</f>
        <v>7.4758068912182867E+20</v>
      </c>
      <c r="I915" s="4">
        <f>SimOpsY1*(1+SimOpsGrowth)^913</f>
        <v>9.8403379612706165E+34</v>
      </c>
      <c r="J915" s="4">
        <f>TrainDevY1*(1+TrainDevGrowth)^913</f>
        <v>4.9201689806353082E+34</v>
      </c>
      <c r="K915" s="4">
        <f>AdminY1*(1+AdminGrowth)^913</f>
        <v>2.5426406294273981E+27</v>
      </c>
      <c r="L915" s="4">
        <f t="shared" si="58"/>
        <v>1.4760507196170065E+35</v>
      </c>
      <c r="M915" s="4">
        <f t="shared" si="59"/>
        <v>4.6406925720175549E+42</v>
      </c>
    </row>
    <row r="916" spans="1:13" x14ac:dyDescent="0.2">
      <c r="A916" s="3">
        <f>StartYear+914</f>
        <v>2939</v>
      </c>
      <c r="B916" s="4">
        <f>FacultyFTE*HoursPerWeek*WeeksPerYear*RatePerHour*(1+PracticeGrowth)^914</f>
        <v>6.705201564637579E+24</v>
      </c>
      <c r="C916" s="4">
        <f>StudentsY1*(1+StudentGrowth)^914*CreditsPerStudent*TuitionPerCredit</f>
        <v>4.1907509778984866E+25</v>
      </c>
      <c r="D916" s="4">
        <f>SimRevY1*(1+SimGrowth)^914</f>
        <v>3.403174661056593E+42</v>
      </c>
      <c r="E916" s="4">
        <f>FacDevRevY1*(1+FacDevGrowth)^914</f>
        <v>1.7015873305282965E+42</v>
      </c>
      <c r="F916" s="4">
        <f t="shared" si="56"/>
        <v>5.1047619915848891E+42</v>
      </c>
      <c r="G916" s="4">
        <f t="shared" si="57"/>
        <v>5.1047619915848891E+42</v>
      </c>
      <c r="H916" s="4">
        <f>SalaryFTECount*SalaryPerFTE*(1+SalaryGrowth)^914</f>
        <v>7.7748391668670176E+20</v>
      </c>
      <c r="I916" s="4">
        <f>SimOpsY1*(1+SimOpsGrowth)^914</f>
        <v>1.0627564998172269E+35</v>
      </c>
      <c r="J916" s="4">
        <f>TrainDevY1*(1+TrainDevGrowth)^914</f>
        <v>5.3137824990861345E+34</v>
      </c>
      <c r="K916" s="4">
        <f>AdminY1*(1+AdminGrowth)^914</f>
        <v>2.6951990671930419E+27</v>
      </c>
      <c r="L916" s="4">
        <f t="shared" si="58"/>
        <v>1.5941347766778387E+35</v>
      </c>
      <c r="M916" s="4">
        <f t="shared" si="59"/>
        <v>5.1047618321714118E+42</v>
      </c>
    </row>
    <row r="917" spans="1:13" x14ac:dyDescent="0.2">
      <c r="A917" s="3">
        <f>StartYear+915</f>
        <v>2940</v>
      </c>
      <c r="B917" s="4">
        <f>FacultyFTE*HoursPerWeek*WeeksPerYear*RatePerHour*(1+PracticeGrowth)^915</f>
        <v>7.0404616428694577E+24</v>
      </c>
      <c r="C917" s="4">
        <f>StudentsY1*(1+StudentGrowth)^915*CreditsPerStudent*TuitionPerCredit</f>
        <v>4.4002885267934108E+25</v>
      </c>
      <c r="D917" s="4">
        <f>SimRevY1*(1+SimGrowth)^915</f>
        <v>3.7434921271622534E+42</v>
      </c>
      <c r="E917" s="4">
        <f>FacDevRevY1*(1+FacDevGrowth)^915</f>
        <v>1.8717460635811267E+42</v>
      </c>
      <c r="F917" s="4">
        <f t="shared" si="56"/>
        <v>5.6152381907433808E+42</v>
      </c>
      <c r="G917" s="4">
        <f t="shared" si="57"/>
        <v>5.6152381907433808E+42</v>
      </c>
      <c r="H917" s="4">
        <f>SalaryFTECount*SalaryPerFTE*(1+SalaryGrowth)^915</f>
        <v>8.0858327335417007E+20</v>
      </c>
      <c r="I917" s="4">
        <f>SimOpsY1*(1+SimOpsGrowth)^915</f>
        <v>1.1477770198026052E+35</v>
      </c>
      <c r="J917" s="4">
        <f>TrainDevY1*(1+TrainDevGrowth)^915</f>
        <v>5.738885099013026E+34</v>
      </c>
      <c r="K917" s="4">
        <f>AdminY1*(1+AdminGrowth)^915</f>
        <v>2.8569110112246248E+27</v>
      </c>
      <c r="L917" s="4">
        <f t="shared" si="58"/>
        <v>1.721665558273026E+35</v>
      </c>
      <c r="M917" s="4">
        <f t="shared" si="59"/>
        <v>5.6152380185768253E+42</v>
      </c>
    </row>
    <row r="918" spans="1:13" x14ac:dyDescent="0.2">
      <c r="A918" s="3">
        <f>StartYear+916</f>
        <v>2941</v>
      </c>
      <c r="B918" s="4">
        <f>FacultyFTE*HoursPerWeek*WeeksPerYear*RatePerHour*(1+PracticeGrowth)^916</f>
        <v>7.3924847250129314E+24</v>
      </c>
      <c r="C918" s="4">
        <f>StudentsY1*(1+StudentGrowth)^916*CreditsPerStudent*TuitionPerCredit</f>
        <v>4.6203029531330823E+25</v>
      </c>
      <c r="D918" s="4">
        <f>SimRevY1*(1+SimGrowth)^916</f>
        <v>4.1178413398784783E+42</v>
      </c>
      <c r="E918" s="4">
        <f>FacDevRevY1*(1+FacDevGrowth)^916</f>
        <v>2.0589206699392391E+42</v>
      </c>
      <c r="F918" s="4">
        <f t="shared" si="56"/>
        <v>6.1767620098177171E+42</v>
      </c>
      <c r="G918" s="4">
        <f t="shared" si="57"/>
        <v>6.1767620098177171E+42</v>
      </c>
      <c r="H918" s="4">
        <f>SalaryFTECount*SalaryPerFTE*(1+SalaryGrowth)^916</f>
        <v>8.4092660428833672E+20</v>
      </c>
      <c r="I918" s="4">
        <f>SimOpsY1*(1+SimOpsGrowth)^916</f>
        <v>1.2395991813868134E+35</v>
      </c>
      <c r="J918" s="4">
        <f>TrainDevY1*(1+TrainDevGrowth)^916</f>
        <v>6.1979959069340672E+34</v>
      </c>
      <c r="K918" s="4">
        <f>AdminY1*(1+AdminGrowth)^916</f>
        <v>3.0283256718981022E+27</v>
      </c>
      <c r="L918" s="4">
        <f t="shared" si="58"/>
        <v>1.8593988023634854E+35</v>
      </c>
      <c r="M918" s="4">
        <f t="shared" si="59"/>
        <v>6.176761823877837E+42</v>
      </c>
    </row>
    <row r="919" spans="1:13" x14ac:dyDescent="0.2">
      <c r="A919" s="3">
        <f>StartYear+917</f>
        <v>2942</v>
      </c>
      <c r="B919" s="4">
        <f>FacultyFTE*HoursPerWeek*WeeksPerYear*RatePerHour*(1+PracticeGrowth)^917</f>
        <v>7.7621089612635769E+24</v>
      </c>
      <c r="C919" s="4">
        <f>StudentsY1*(1+StudentGrowth)^917*CreditsPerStudent*TuitionPerCredit</f>
        <v>4.8513181007897351E+25</v>
      </c>
      <c r="D919" s="4">
        <f>SimRevY1*(1+SimGrowth)^917</f>
        <v>4.5296254738663263E+42</v>
      </c>
      <c r="E919" s="4">
        <f>FacDevRevY1*(1+FacDevGrowth)^917</f>
        <v>2.2648127369331632E+42</v>
      </c>
      <c r="F919" s="4">
        <f t="shared" si="56"/>
        <v>6.7944382107994901E+42</v>
      </c>
      <c r="G919" s="4">
        <f t="shared" si="57"/>
        <v>6.7944382107994901E+42</v>
      </c>
      <c r="H919" s="4">
        <f>SalaryFTECount*SalaryPerFTE*(1+SalaryGrowth)^917</f>
        <v>8.7456366845987049E+20</v>
      </c>
      <c r="I919" s="4">
        <f>SimOpsY1*(1+SimOpsGrowth)^917</f>
        <v>1.3387671158977586E+35</v>
      </c>
      <c r="J919" s="4">
        <f>TrainDevY1*(1+TrainDevGrowth)^917</f>
        <v>6.6938355794887931E+34</v>
      </c>
      <c r="K919" s="4">
        <f>AdminY1*(1+AdminGrowth)^917</f>
        <v>3.2100252122119889E+27</v>
      </c>
      <c r="L919" s="4">
        <f t="shared" si="58"/>
        <v>2.0081507059468989E+35</v>
      </c>
      <c r="M919" s="4">
        <f t="shared" si="59"/>
        <v>6.7944380099844197E+42</v>
      </c>
    </row>
    <row r="920" spans="1:13" x14ac:dyDescent="0.2">
      <c r="A920" s="3">
        <f>StartYear+918</f>
        <v>2943</v>
      </c>
      <c r="B920" s="4">
        <f>FacultyFTE*HoursPerWeek*WeeksPerYear*RatePerHour*(1+PracticeGrowth)^918</f>
        <v>8.150214409326754E+24</v>
      </c>
      <c r="C920" s="4">
        <f>StudentsY1*(1+StudentGrowth)^918*CreditsPerStudent*TuitionPerCredit</f>
        <v>5.0938840058292222E+25</v>
      </c>
      <c r="D920" s="4">
        <f>SimRevY1*(1+SimGrowth)^918</f>
        <v>4.9825880212529599E+42</v>
      </c>
      <c r="E920" s="4">
        <f>FacDevRevY1*(1+FacDevGrowth)^918</f>
        <v>2.49129401062648E+42</v>
      </c>
      <c r="F920" s="4">
        <f t="shared" si="56"/>
        <v>7.4738820318794396E+42</v>
      </c>
      <c r="G920" s="4">
        <f t="shared" si="57"/>
        <v>7.4738820318794396E+42</v>
      </c>
      <c r="H920" s="4">
        <f>SalaryFTECount*SalaryPerFTE*(1+SalaryGrowth)^918</f>
        <v>9.0954621519826518E+20</v>
      </c>
      <c r="I920" s="4">
        <f>SimOpsY1*(1+SimOpsGrowth)^918</f>
        <v>1.4458684851695796E+35</v>
      </c>
      <c r="J920" s="4">
        <f>TrainDevY1*(1+TrainDevGrowth)^918</f>
        <v>7.2293424258478982E+34</v>
      </c>
      <c r="K920" s="4">
        <f>AdminY1*(1+AdminGrowth)^918</f>
        <v>3.4026267249447089E+27</v>
      </c>
      <c r="L920" s="4">
        <f t="shared" si="58"/>
        <v>2.1688027617806457E+35</v>
      </c>
      <c r="M920" s="4">
        <f t="shared" si="59"/>
        <v>7.4738818149991633E+42</v>
      </c>
    </row>
    <row r="921" spans="1:13" x14ac:dyDescent="0.2">
      <c r="A921" s="3">
        <f>StartYear+919</f>
        <v>2944</v>
      </c>
      <c r="B921" s="4">
        <f>FacultyFTE*HoursPerWeek*WeeksPerYear*RatePerHour*(1+PracticeGrowth)^919</f>
        <v>8.5577251297930947E+24</v>
      </c>
      <c r="C921" s="4">
        <f>StudentsY1*(1+StudentGrowth)^919*CreditsPerStudent*TuitionPerCredit</f>
        <v>5.3485782061206847E+25</v>
      </c>
      <c r="D921" s="4">
        <f>SimRevY1*(1+SimGrowth)^919</f>
        <v>5.4808468233782565E+42</v>
      </c>
      <c r="E921" s="4">
        <f>FacDevRevY1*(1+FacDevGrowth)^919</f>
        <v>2.7404234116891282E+42</v>
      </c>
      <c r="F921" s="4">
        <f t="shared" si="56"/>
        <v>8.2212702350673844E+42</v>
      </c>
      <c r="G921" s="4">
        <f t="shared" si="57"/>
        <v>8.2212702350673844E+42</v>
      </c>
      <c r="H921" s="4">
        <f>SalaryFTECount*SalaryPerFTE*(1+SalaryGrowth)^919</f>
        <v>9.4592806380619576E+20</v>
      </c>
      <c r="I921" s="4">
        <f>SimOpsY1*(1+SimOpsGrowth)^919</f>
        <v>1.5615379639831459E+35</v>
      </c>
      <c r="J921" s="4">
        <f>TrainDevY1*(1+TrainDevGrowth)^919</f>
        <v>7.8076898199157297E+34</v>
      </c>
      <c r="K921" s="4">
        <f>AdminY1*(1+AdminGrowth)^919</f>
        <v>3.6067843284413919E+27</v>
      </c>
      <c r="L921" s="4">
        <f t="shared" si="58"/>
        <v>2.3423069820425716E+35</v>
      </c>
      <c r="M921" s="4">
        <f t="shared" si="59"/>
        <v>8.2212700008366864E+42</v>
      </c>
    </row>
    <row r="922" spans="1:13" x14ac:dyDescent="0.2">
      <c r="A922" s="3">
        <f>StartYear+920</f>
        <v>2945</v>
      </c>
      <c r="B922" s="4">
        <f>FacultyFTE*HoursPerWeek*WeeksPerYear*RatePerHour*(1+PracticeGrowth)^920</f>
        <v>8.9856113862827481E+24</v>
      </c>
      <c r="C922" s="4">
        <f>StudentsY1*(1+StudentGrowth)^920*CreditsPerStudent*TuitionPerCredit</f>
        <v>5.6160071164267176E+25</v>
      </c>
      <c r="D922" s="4">
        <f>SimRevY1*(1+SimGrowth)^920</f>
        <v>6.0289315057160831E+42</v>
      </c>
      <c r="E922" s="4">
        <f>FacDevRevY1*(1+FacDevGrowth)^920</f>
        <v>3.0144657528580415E+42</v>
      </c>
      <c r="F922" s="4">
        <f t="shared" si="56"/>
        <v>9.043397258574124E+42</v>
      </c>
      <c r="G922" s="4">
        <f t="shared" si="57"/>
        <v>9.043397258574124E+42</v>
      </c>
      <c r="H922" s="4">
        <f>SalaryFTECount*SalaryPerFTE*(1+SalaryGrowth)^920</f>
        <v>9.8376518635844364E+20</v>
      </c>
      <c r="I922" s="4">
        <f>SimOpsY1*(1+SimOpsGrowth)^920</f>
        <v>1.6864610011017976E+35</v>
      </c>
      <c r="J922" s="4">
        <f>TrainDevY1*(1+TrainDevGrowth)^920</f>
        <v>8.4323050055089878E+34</v>
      </c>
      <c r="K922" s="4">
        <f>AdminY1*(1+AdminGrowth)^920</f>
        <v>3.8231913881478754E+27</v>
      </c>
      <c r="L922" s="4">
        <f t="shared" si="58"/>
        <v>2.5296915398846203E+35</v>
      </c>
      <c r="M922" s="4">
        <f t="shared" si="59"/>
        <v>9.0433970056049703E+42</v>
      </c>
    </row>
    <row r="923" spans="1:13" x14ac:dyDescent="0.2">
      <c r="A923" s="3">
        <f>StartYear+921</f>
        <v>2946</v>
      </c>
      <c r="B923" s="4">
        <f>FacultyFTE*HoursPerWeek*WeeksPerYear*RatePerHour*(1+PracticeGrowth)^921</f>
        <v>9.4348919555968851E+24</v>
      </c>
      <c r="C923" s="4">
        <f>StudentsY1*(1+StudentGrowth)^921*CreditsPerStudent*TuitionPerCredit</f>
        <v>5.8968074722480532E+25</v>
      </c>
      <c r="D923" s="4">
        <f>SimRevY1*(1+SimGrowth)^921</f>
        <v>6.6318246562876903E+42</v>
      </c>
      <c r="E923" s="4">
        <f>FacDevRevY1*(1+FacDevGrowth)^921</f>
        <v>3.3159123281438451E+42</v>
      </c>
      <c r="F923" s="4">
        <f t="shared" si="56"/>
        <v>9.9477369844315354E+42</v>
      </c>
      <c r="G923" s="4">
        <f t="shared" si="57"/>
        <v>9.9477369844315354E+42</v>
      </c>
      <c r="H923" s="4">
        <f>SalaryFTECount*SalaryPerFTE*(1+SalaryGrowth)^921</f>
        <v>1.0231157938127818E+21</v>
      </c>
      <c r="I923" s="4">
        <f>SimOpsY1*(1+SimOpsGrowth)^921</f>
        <v>1.8213778811899419E+35</v>
      </c>
      <c r="J923" s="4">
        <f>TrainDevY1*(1+TrainDevGrowth)^921</f>
        <v>9.1068894059497095E+34</v>
      </c>
      <c r="K923" s="4">
        <f>AdminY1*(1+AdminGrowth)^921</f>
        <v>4.0525828714367471E+27</v>
      </c>
      <c r="L923" s="4">
        <f t="shared" si="58"/>
        <v>2.732066862310752E+35</v>
      </c>
      <c r="M923" s="4">
        <f t="shared" si="59"/>
        <v>9.9477367112248486E+42</v>
      </c>
    </row>
    <row r="924" spans="1:13" x14ac:dyDescent="0.2">
      <c r="A924" s="3">
        <f>StartYear+922</f>
        <v>2947</v>
      </c>
      <c r="B924" s="4">
        <f>FacultyFTE*HoursPerWeek*WeeksPerYear*RatePerHour*(1+PracticeGrowth)^922</f>
        <v>9.9066365533767294E+24</v>
      </c>
      <c r="C924" s="4">
        <f>StudentsY1*(1+StudentGrowth)^922*CreditsPerStudent*TuitionPerCredit</f>
        <v>6.1916478458604563E+25</v>
      </c>
      <c r="D924" s="4">
        <f>SimRevY1*(1+SimGrowth)^922</f>
        <v>7.2950071219164593E+42</v>
      </c>
      <c r="E924" s="4">
        <f>FacDevRevY1*(1+FacDevGrowth)^922</f>
        <v>3.6475035609582296E+42</v>
      </c>
      <c r="F924" s="4">
        <f t="shared" si="56"/>
        <v>1.0942510682874689E+43</v>
      </c>
      <c r="G924" s="4">
        <f t="shared" si="57"/>
        <v>1.0942510682874689E+43</v>
      </c>
      <c r="H924" s="4">
        <f>SalaryFTECount*SalaryPerFTE*(1+SalaryGrowth)^922</f>
        <v>1.0640404255652926E+21</v>
      </c>
      <c r="I924" s="4">
        <f>SimOpsY1*(1+SimOpsGrowth)^922</f>
        <v>1.9670881116851369E+35</v>
      </c>
      <c r="J924" s="4">
        <f>TrainDevY1*(1+TrainDevGrowth)^922</f>
        <v>9.8354405584256845E+34</v>
      </c>
      <c r="K924" s="4">
        <f>AdminY1*(1+AdminGrowth)^922</f>
        <v>4.2957378437229525E+27</v>
      </c>
      <c r="L924" s="4">
        <f t="shared" si="58"/>
        <v>2.9506322104850945E+35</v>
      </c>
      <c r="M924" s="4">
        <f t="shared" si="59"/>
        <v>1.0942510387811468E+43</v>
      </c>
    </row>
    <row r="925" spans="1:13" x14ac:dyDescent="0.2">
      <c r="A925" s="3">
        <f>StartYear+923</f>
        <v>2948</v>
      </c>
      <c r="B925" s="4">
        <f>FacultyFTE*HoursPerWeek*WeeksPerYear*RatePerHour*(1+PracticeGrowth)^923</f>
        <v>1.0401968381045569E+25</v>
      </c>
      <c r="C925" s="4">
        <f>StudentsY1*(1+StudentGrowth)^923*CreditsPerStudent*TuitionPerCredit</f>
        <v>6.5012302381534796E+25</v>
      </c>
      <c r="D925" s="4">
        <f>SimRevY1*(1+SimGrowth)^923</f>
        <v>8.0245078341081082E+42</v>
      </c>
      <c r="E925" s="4">
        <f>FacDevRevY1*(1+FacDevGrowth)^923</f>
        <v>4.0122539170540541E+42</v>
      </c>
      <c r="F925" s="4">
        <f t="shared" si="56"/>
        <v>1.2036761751162161E+43</v>
      </c>
      <c r="G925" s="4">
        <f t="shared" si="57"/>
        <v>1.2036761751162161E+43</v>
      </c>
      <c r="H925" s="4">
        <f>SalaryFTECount*SalaryPerFTE*(1+SalaryGrowth)^923</f>
        <v>1.1066020425879043E+21</v>
      </c>
      <c r="I925" s="4">
        <f>SimOpsY1*(1+SimOpsGrowth)^923</f>
        <v>2.1244551606199479E+35</v>
      </c>
      <c r="J925" s="4">
        <f>TrainDevY1*(1+TrainDevGrowth)^923</f>
        <v>1.062227580309974E+35</v>
      </c>
      <c r="K925" s="4">
        <f>AdminY1*(1+AdminGrowth)^923</f>
        <v>4.5534821143463299E+27</v>
      </c>
      <c r="L925" s="4">
        <f t="shared" si="58"/>
        <v>3.1866827864647541E+35</v>
      </c>
      <c r="M925" s="4">
        <f t="shared" si="59"/>
        <v>1.2036761432493882E+43</v>
      </c>
    </row>
    <row r="926" spans="1:13" x14ac:dyDescent="0.2">
      <c r="A926" s="3">
        <f>StartYear+924</f>
        <v>2949</v>
      </c>
      <c r="B926" s="4">
        <f>FacultyFTE*HoursPerWeek*WeeksPerYear*RatePerHour*(1+PracticeGrowth)^924</f>
        <v>1.0922066800097845E+25</v>
      </c>
      <c r="C926" s="4">
        <f>StudentsY1*(1+StudentGrowth)^924*CreditsPerStudent*TuitionPerCredit</f>
        <v>6.8262917500611539E+25</v>
      </c>
      <c r="D926" s="4">
        <f>SimRevY1*(1+SimGrowth)^924</f>
        <v>8.8269586175189195E+42</v>
      </c>
      <c r="E926" s="4">
        <f>FacDevRevY1*(1+FacDevGrowth)^924</f>
        <v>4.4134793087594597E+42</v>
      </c>
      <c r="F926" s="4">
        <f t="shared" si="56"/>
        <v>1.3240437926278379E+43</v>
      </c>
      <c r="G926" s="4">
        <f t="shared" si="57"/>
        <v>1.3240437926278379E+43</v>
      </c>
      <c r="H926" s="4">
        <f>SalaryFTECount*SalaryPerFTE*(1+SalaryGrowth)^924</f>
        <v>1.150866124291421E+21</v>
      </c>
      <c r="I926" s="4">
        <f>SimOpsY1*(1+SimOpsGrowth)^924</f>
        <v>2.2944115734695438E+35</v>
      </c>
      <c r="J926" s="4">
        <f>TrainDevY1*(1+TrainDevGrowth)^924</f>
        <v>1.1472057867347719E+35</v>
      </c>
      <c r="K926" s="4">
        <f>AdminY1*(1+AdminGrowth)^924</f>
        <v>4.8266910412071111E+27</v>
      </c>
      <c r="L926" s="4">
        <f t="shared" si="58"/>
        <v>3.4416174084712373E+35</v>
      </c>
      <c r="M926" s="4">
        <f t="shared" si="59"/>
        <v>1.3240437582116638E+43</v>
      </c>
    </row>
    <row r="927" spans="1:13" x14ac:dyDescent="0.2">
      <c r="A927" s="3">
        <f>StartYear+925</f>
        <v>2950</v>
      </c>
      <c r="B927" s="4">
        <f>FacultyFTE*HoursPerWeek*WeeksPerYear*RatePerHour*(1+PracticeGrowth)^925</f>
        <v>1.1468170140102739E+25</v>
      </c>
      <c r="C927" s="4">
        <f>StudentsY1*(1+StudentGrowth)^925*CreditsPerStudent*TuitionPerCredit</f>
        <v>7.1676063375642119E+25</v>
      </c>
      <c r="D927" s="4">
        <f>SimRevY1*(1+SimGrowth)^925</f>
        <v>9.7096544792708101E+42</v>
      </c>
      <c r="E927" s="4">
        <f>FacDevRevY1*(1+FacDevGrowth)^925</f>
        <v>4.854827239635405E+42</v>
      </c>
      <c r="F927" s="4">
        <f t="shared" si="56"/>
        <v>1.4564481718906214E+43</v>
      </c>
      <c r="G927" s="4">
        <f t="shared" si="57"/>
        <v>1.4564481718906214E+43</v>
      </c>
      <c r="H927" s="4">
        <f>SalaryFTECount*SalaryPerFTE*(1+SalaryGrowth)^925</f>
        <v>1.1969007692630778E+21</v>
      </c>
      <c r="I927" s="4">
        <f>SimOpsY1*(1+SimOpsGrowth)^925</f>
        <v>2.4779644993471074E+35</v>
      </c>
      <c r="J927" s="4">
        <f>TrainDevY1*(1+TrainDevGrowth)^925</f>
        <v>1.2389822496735537E+35</v>
      </c>
      <c r="K927" s="4">
        <f>AdminY1*(1+AdminGrowth)^925</f>
        <v>5.1162925036795372E+27</v>
      </c>
      <c r="L927" s="4">
        <f t="shared" si="58"/>
        <v>3.7169468001835977E+35</v>
      </c>
      <c r="M927" s="4">
        <f t="shared" si="59"/>
        <v>1.4564481347211534E+43</v>
      </c>
    </row>
    <row r="928" spans="1:13" x14ac:dyDescent="0.2">
      <c r="A928" s="3">
        <f>StartYear+926</f>
        <v>2951</v>
      </c>
      <c r="B928" s="4">
        <f>FacultyFTE*HoursPerWeek*WeeksPerYear*RatePerHour*(1+PracticeGrowth)^926</f>
        <v>1.2041578647107872E+25</v>
      </c>
      <c r="C928" s="4">
        <f>StudentsY1*(1+StudentGrowth)^926*CreditsPerStudent*TuitionPerCredit</f>
        <v>7.5259866544424193E+25</v>
      </c>
      <c r="D928" s="4">
        <f>SimRevY1*(1+SimGrowth)^926</f>
        <v>1.0680619927197894E+43</v>
      </c>
      <c r="E928" s="4">
        <f>FacDevRevY1*(1+FacDevGrowth)^926</f>
        <v>5.3403099635989472E+42</v>
      </c>
      <c r="F928" s="4">
        <f t="shared" si="56"/>
        <v>1.6020929890796843E+43</v>
      </c>
      <c r="G928" s="4">
        <f t="shared" si="57"/>
        <v>1.6020929890796843E+43</v>
      </c>
      <c r="H928" s="4">
        <f>SalaryFTECount*SalaryPerFTE*(1+SalaryGrowth)^926</f>
        <v>1.2447768000336007E+21</v>
      </c>
      <c r="I928" s="4">
        <f>SimOpsY1*(1+SimOpsGrowth)^926</f>
        <v>2.6762016592948764E+35</v>
      </c>
      <c r="J928" s="4">
        <f>TrainDevY1*(1+TrainDevGrowth)^926</f>
        <v>1.3381008296474382E+35</v>
      </c>
      <c r="K928" s="4">
        <f>AdminY1*(1+AdminGrowth)^926</f>
        <v>5.4232700539003101E+27</v>
      </c>
      <c r="L928" s="4">
        <f t="shared" si="58"/>
        <v>4.0143025431750276E+35</v>
      </c>
      <c r="M928" s="4">
        <f t="shared" si="59"/>
        <v>1.6020929489366587E+43</v>
      </c>
    </row>
    <row r="929" spans="1:13" x14ac:dyDescent="0.2">
      <c r="A929" s="3">
        <f>StartYear+927</f>
        <v>2952</v>
      </c>
      <c r="B929" s="4">
        <f>FacultyFTE*HoursPerWeek*WeeksPerYear*RatePerHour*(1+PracticeGrowth)^927</f>
        <v>1.264365757946327E+25</v>
      </c>
      <c r="C929" s="4">
        <f>StudentsY1*(1+StudentGrowth)^927*CreditsPerStudent*TuitionPerCredit</f>
        <v>7.9022859871645434E+25</v>
      </c>
      <c r="D929" s="4">
        <f>SimRevY1*(1+SimGrowth)^927</f>
        <v>1.1748681919917683E+43</v>
      </c>
      <c r="E929" s="4">
        <f>FacDevRevY1*(1+FacDevGrowth)^927</f>
        <v>5.8743409599588413E+42</v>
      </c>
      <c r="F929" s="4">
        <f t="shared" si="56"/>
        <v>1.7623022879876523E+43</v>
      </c>
      <c r="G929" s="4">
        <f t="shared" si="57"/>
        <v>1.7623022879876523E+43</v>
      </c>
      <c r="H929" s="4">
        <f>SalaryFTECount*SalaryPerFTE*(1+SalaryGrowth)^927</f>
        <v>1.2945678720349448E+21</v>
      </c>
      <c r="I929" s="4">
        <f>SimOpsY1*(1+SimOpsGrowth)^927</f>
        <v>2.8902977920384668E+35</v>
      </c>
      <c r="J929" s="4">
        <f>TrainDevY1*(1+TrainDevGrowth)^927</f>
        <v>1.4451488960192334E+35</v>
      </c>
      <c r="K929" s="4">
        <f>AdminY1*(1+AdminGrowth)^927</f>
        <v>5.7486662571343288E+27</v>
      </c>
      <c r="L929" s="4">
        <f t="shared" si="58"/>
        <v>4.335446745544376E+35</v>
      </c>
      <c r="M929" s="4">
        <f t="shared" si="59"/>
        <v>1.7623022446331847E+43</v>
      </c>
    </row>
    <row r="930" spans="1:13" x14ac:dyDescent="0.2">
      <c r="A930" s="3">
        <f>StartYear+928</f>
        <v>2953</v>
      </c>
      <c r="B930" s="4">
        <f>FacultyFTE*HoursPerWeek*WeeksPerYear*RatePerHour*(1+PracticeGrowth)^928</f>
        <v>1.3275840458436434E+25</v>
      </c>
      <c r="C930" s="4">
        <f>StudentsY1*(1+StudentGrowth)^928*CreditsPerStudent*TuitionPerCredit</f>
        <v>8.2974002865227699E+25</v>
      </c>
      <c r="D930" s="4">
        <f>SimRevY1*(1+SimGrowth)^928</f>
        <v>1.2923550111909454E+43</v>
      </c>
      <c r="E930" s="4">
        <f>FacDevRevY1*(1+FacDevGrowth)^928</f>
        <v>6.4617750559547268E+42</v>
      </c>
      <c r="F930" s="4">
        <f t="shared" si="56"/>
        <v>1.938532516786418E+43</v>
      </c>
      <c r="G930" s="4">
        <f t="shared" si="57"/>
        <v>1.938532516786418E+43</v>
      </c>
      <c r="H930" s="4">
        <f>SalaryFTECount*SalaryPerFTE*(1+SalaryGrowth)^928</f>
        <v>1.3463505869163429E+21</v>
      </c>
      <c r="I930" s="4">
        <f>SimOpsY1*(1+SimOpsGrowth)^928</f>
        <v>3.1215216154015443E+35</v>
      </c>
      <c r="J930" s="4">
        <f>TrainDevY1*(1+TrainDevGrowth)^928</f>
        <v>1.5607608077007722E+35</v>
      </c>
      <c r="K930" s="4">
        <f>AdminY1*(1+AdminGrowth)^928</f>
        <v>6.0935862325623887E+27</v>
      </c>
      <c r="L930" s="4">
        <f t="shared" si="58"/>
        <v>4.682282484038192E+35</v>
      </c>
      <c r="M930" s="4">
        <f t="shared" si="59"/>
        <v>1.9385324699635933E+43</v>
      </c>
    </row>
    <row r="931" spans="1:13" x14ac:dyDescent="0.2">
      <c r="A931" s="3">
        <f>StartYear+929</f>
        <v>2954</v>
      </c>
      <c r="B931" s="4">
        <f>FacultyFTE*HoursPerWeek*WeeksPerYear*RatePerHour*(1+PracticeGrowth)^929</f>
        <v>1.3939632481358254E+25</v>
      </c>
      <c r="C931" s="4">
        <f>StudentsY1*(1+StudentGrowth)^929*CreditsPerStudent*TuitionPerCredit</f>
        <v>8.7122703008489078E+25</v>
      </c>
      <c r="D931" s="4">
        <f>SimRevY1*(1+SimGrowth)^929</f>
        <v>1.4215905123100401E+43</v>
      </c>
      <c r="E931" s="4">
        <f>FacDevRevY1*(1+FacDevGrowth)^929</f>
        <v>7.1079525615502007E+42</v>
      </c>
      <c r="F931" s="4">
        <f t="shared" si="56"/>
        <v>2.1323857684650603E+43</v>
      </c>
      <c r="G931" s="4">
        <f t="shared" si="57"/>
        <v>2.1323857684650603E+43</v>
      </c>
      <c r="H931" s="4">
        <f>SalaryFTECount*SalaryPerFTE*(1+SalaryGrowth)^929</f>
        <v>1.4002046103929962E+21</v>
      </c>
      <c r="I931" s="4">
        <f>SimOpsY1*(1+SimOpsGrowth)^929</f>
        <v>3.3712433446336678E+35</v>
      </c>
      <c r="J931" s="4">
        <f>TrainDevY1*(1+TrainDevGrowth)^929</f>
        <v>1.6856216723168339E+35</v>
      </c>
      <c r="K931" s="4">
        <f>AdminY1*(1+AdminGrowth)^929</f>
        <v>6.4592014065161319E+27</v>
      </c>
      <c r="L931" s="4">
        <f t="shared" si="58"/>
        <v>5.0568650815425291E+35</v>
      </c>
      <c r="M931" s="4">
        <f t="shared" si="59"/>
        <v>2.1323857178964095E+43</v>
      </c>
    </row>
    <row r="932" spans="1:13" x14ac:dyDescent="0.2">
      <c r="A932" s="3">
        <f>StartYear+930</f>
        <v>2955</v>
      </c>
      <c r="B932" s="4">
        <f>FacultyFTE*HoursPerWeek*WeeksPerYear*RatePerHour*(1+PracticeGrowth)^930</f>
        <v>1.4636614105426166E+25</v>
      </c>
      <c r="C932" s="4">
        <f>StudentsY1*(1+StudentGrowth)^930*CreditsPerStudent*TuitionPerCredit</f>
        <v>9.1478838158913533E+25</v>
      </c>
      <c r="D932" s="4">
        <f>SimRevY1*(1+SimGrowth)^930</f>
        <v>1.5637495635410441E+43</v>
      </c>
      <c r="E932" s="4">
        <f>FacDevRevY1*(1+FacDevGrowth)^930</f>
        <v>7.8187478177052207E+42</v>
      </c>
      <c r="F932" s="4">
        <f t="shared" si="56"/>
        <v>2.3456243453115663E+43</v>
      </c>
      <c r="G932" s="4">
        <f t="shared" si="57"/>
        <v>2.3456243453115663E+43</v>
      </c>
      <c r="H932" s="4">
        <f>SalaryFTECount*SalaryPerFTE*(1+SalaryGrowth)^930</f>
        <v>1.4562127948087165E+21</v>
      </c>
      <c r="I932" s="4">
        <f>SimOpsY1*(1+SimOpsGrowth)^930</f>
        <v>3.6409428122043612E+35</v>
      </c>
      <c r="J932" s="4">
        <f>TrainDevY1*(1+TrainDevGrowth)^930</f>
        <v>1.8204714061021806E+35</v>
      </c>
      <c r="K932" s="4">
        <f>AdminY1*(1+AdminGrowth)^930</f>
        <v>6.8467534909070997E+27</v>
      </c>
      <c r="L932" s="4">
        <f t="shared" si="58"/>
        <v>5.4614142867740921E+35</v>
      </c>
      <c r="M932" s="4">
        <f t="shared" si="59"/>
        <v>2.3456242906974235E+43</v>
      </c>
    </row>
    <row r="933" spans="1:13" x14ac:dyDescent="0.2">
      <c r="A933" s="3">
        <f>StartYear+931</f>
        <v>2956</v>
      </c>
      <c r="B933" s="4">
        <f>FacultyFTE*HoursPerWeek*WeeksPerYear*RatePerHour*(1+PracticeGrowth)^931</f>
        <v>1.5368444810697478E+25</v>
      </c>
      <c r="C933" s="4">
        <f>StudentsY1*(1+StudentGrowth)^931*CreditsPerStudent*TuitionPerCredit</f>
        <v>9.6052780066859242E+25</v>
      </c>
      <c r="D933" s="4">
        <f>SimRevY1*(1+SimGrowth)^931</f>
        <v>1.7201245198951489E+43</v>
      </c>
      <c r="E933" s="4">
        <f>FacDevRevY1*(1+FacDevGrowth)^931</f>
        <v>8.6006225994757446E+42</v>
      </c>
      <c r="F933" s="4">
        <f t="shared" si="56"/>
        <v>2.5801867798427235E+43</v>
      </c>
      <c r="G933" s="4">
        <f t="shared" si="57"/>
        <v>2.5801867798427235E+43</v>
      </c>
      <c r="H933" s="4">
        <f>SalaryFTECount*SalaryPerFTE*(1+SalaryGrowth)^931</f>
        <v>1.5144613066010652E+21</v>
      </c>
      <c r="I933" s="4">
        <f>SimOpsY1*(1+SimOpsGrowth)^931</f>
        <v>3.9322182371807101E+35</v>
      </c>
      <c r="J933" s="4">
        <f>TrainDevY1*(1+TrainDevGrowth)^931</f>
        <v>1.966109118590355E+35</v>
      </c>
      <c r="K933" s="4">
        <f>AdminY1*(1+AdminGrowth)^931</f>
        <v>7.2575587003615274E+27</v>
      </c>
      <c r="L933" s="4">
        <f t="shared" si="58"/>
        <v>5.8983274283466673E+35</v>
      </c>
      <c r="M933" s="4">
        <f t="shared" si="59"/>
        <v>2.5801867208594491E+43</v>
      </c>
    </row>
    <row r="934" spans="1:13" x14ac:dyDescent="0.2">
      <c r="A934" s="3">
        <f>StartYear+932</f>
        <v>2957</v>
      </c>
      <c r="B934" s="4">
        <f>FacultyFTE*HoursPerWeek*WeeksPerYear*RatePerHour*(1+PracticeGrowth)^932</f>
        <v>1.6136867051232349E+25</v>
      </c>
      <c r="C934" s="4">
        <f>StudentsY1*(1+StudentGrowth)^932*CreditsPerStudent*TuitionPerCredit</f>
        <v>1.0085541907020218E+26</v>
      </c>
      <c r="D934" s="4">
        <f>SimRevY1*(1+SimGrowth)^932</f>
        <v>1.8921369718846636E+43</v>
      </c>
      <c r="E934" s="4">
        <f>FacDevRevY1*(1+FacDevGrowth)^932</f>
        <v>9.4606848594233179E+42</v>
      </c>
      <c r="F934" s="4">
        <f t="shared" si="56"/>
        <v>2.8382054578269955E+43</v>
      </c>
      <c r="G934" s="4">
        <f t="shared" si="57"/>
        <v>2.8382054578269955E+43</v>
      </c>
      <c r="H934" s="4">
        <f>SalaryFTECount*SalaryPerFTE*(1+SalaryGrowth)^932</f>
        <v>1.5750397588651078E+21</v>
      </c>
      <c r="I934" s="4">
        <f>SimOpsY1*(1+SimOpsGrowth)^932</f>
        <v>4.2467956961551679E+35</v>
      </c>
      <c r="J934" s="4">
        <f>TrainDevY1*(1+TrainDevGrowth)^932</f>
        <v>2.1233978480775839E+35</v>
      </c>
      <c r="K934" s="4">
        <f>AdminY1*(1+AdminGrowth)^932</f>
        <v>7.6930122223832194E+27</v>
      </c>
      <c r="L934" s="4">
        <f t="shared" si="58"/>
        <v>6.3701936211628895E+35</v>
      </c>
      <c r="M934" s="4">
        <f t="shared" si="59"/>
        <v>2.8382053941250591E+43</v>
      </c>
    </row>
    <row r="935" spans="1:13" x14ac:dyDescent="0.2">
      <c r="A935" s="3">
        <f>StartYear+933</f>
        <v>2958</v>
      </c>
      <c r="B935" s="4">
        <f>FacultyFTE*HoursPerWeek*WeeksPerYear*RatePerHour*(1+PracticeGrowth)^933</f>
        <v>1.6943710403793971E+25</v>
      </c>
      <c r="C935" s="4">
        <f>StudentsY1*(1+StudentGrowth)^933*CreditsPerStudent*TuitionPerCredit</f>
        <v>1.0589819002371232E+26</v>
      </c>
      <c r="D935" s="4">
        <f>SimRevY1*(1+SimGrowth)^933</f>
        <v>2.08135066907313E+43</v>
      </c>
      <c r="E935" s="4">
        <f>FacDevRevY1*(1+FacDevGrowth)^933</f>
        <v>1.040675334536565E+43</v>
      </c>
      <c r="F935" s="4">
        <f t="shared" si="56"/>
        <v>3.1220260036096952E+43</v>
      </c>
      <c r="G935" s="4">
        <f t="shared" si="57"/>
        <v>3.1220260036096952E+43</v>
      </c>
      <c r="H935" s="4">
        <f>SalaryFTECount*SalaryPerFTE*(1+SalaryGrowth)^933</f>
        <v>1.6380413492197125E+21</v>
      </c>
      <c r="I935" s="4">
        <f>SimOpsY1*(1+SimOpsGrowth)^933</f>
        <v>4.5865393518475818E+35</v>
      </c>
      <c r="J935" s="4">
        <f>TrainDevY1*(1+TrainDevGrowth)^933</f>
        <v>2.2932696759237909E+35</v>
      </c>
      <c r="K935" s="4">
        <f>AdminY1*(1+AdminGrowth)^933</f>
        <v>8.1545929557262125E+27</v>
      </c>
      <c r="L935" s="4">
        <f t="shared" si="58"/>
        <v>6.8798091093173185E+35</v>
      </c>
      <c r="M935" s="4">
        <f t="shared" si="59"/>
        <v>3.1220259348116039E+43</v>
      </c>
    </row>
    <row r="936" spans="1:13" x14ac:dyDescent="0.2">
      <c r="A936" s="3">
        <f>StartYear+934</f>
        <v>2959</v>
      </c>
      <c r="B936" s="4">
        <f>FacultyFTE*HoursPerWeek*WeeksPerYear*RatePerHour*(1+PracticeGrowth)^934</f>
        <v>1.7790895923983663E+25</v>
      </c>
      <c r="C936" s="4">
        <f>StudentsY1*(1+StudentGrowth)^934*CreditsPerStudent*TuitionPerCredit</f>
        <v>1.111930995248979E+26</v>
      </c>
      <c r="D936" s="4">
        <f>SimRevY1*(1+SimGrowth)^934</f>
        <v>2.2894857359804438E+43</v>
      </c>
      <c r="E936" s="4">
        <f>FacDevRevY1*(1+FacDevGrowth)^934</f>
        <v>1.1447428679902219E+43</v>
      </c>
      <c r="F936" s="4">
        <f t="shared" si="56"/>
        <v>3.4342286039706657E+43</v>
      </c>
      <c r="G936" s="4">
        <f t="shared" si="57"/>
        <v>3.4342286039706657E+43</v>
      </c>
      <c r="H936" s="4">
        <f>SalaryFTECount*SalaryPerFTE*(1+SalaryGrowth)^934</f>
        <v>1.7035630031885005E+21</v>
      </c>
      <c r="I936" s="4">
        <f>SimOpsY1*(1+SimOpsGrowth)^934</f>
        <v>4.9534624999953887E+35</v>
      </c>
      <c r="J936" s="4">
        <f>TrainDevY1*(1+TrainDevGrowth)^934</f>
        <v>2.4767312499976943E+35</v>
      </c>
      <c r="K936" s="4">
        <f>AdminY1*(1+AdminGrowth)^934</f>
        <v>8.6438685330697874E+27</v>
      </c>
      <c r="L936" s="4">
        <f t="shared" si="58"/>
        <v>7.430193836431786E+35</v>
      </c>
      <c r="M936" s="4">
        <f t="shared" si="59"/>
        <v>3.4342285296687271E+43</v>
      </c>
    </row>
    <row r="937" spans="1:13" x14ac:dyDescent="0.2">
      <c r="A937" s="3">
        <f>StartYear+935</f>
        <v>2960</v>
      </c>
      <c r="B937" s="4">
        <f>FacultyFTE*HoursPerWeek*WeeksPerYear*RatePerHour*(1+PracticeGrowth)^935</f>
        <v>1.868044072018285E+25</v>
      </c>
      <c r="C937" s="4">
        <f>StudentsY1*(1+StudentGrowth)^935*CreditsPerStudent*TuitionPerCredit</f>
        <v>1.1675275450114282E+26</v>
      </c>
      <c r="D937" s="4">
        <f>SimRevY1*(1+SimGrowth)^935</f>
        <v>2.5184343095784874E+43</v>
      </c>
      <c r="E937" s="4">
        <f>FacDevRevY1*(1+FacDevGrowth)^935</f>
        <v>1.2592171547892437E+43</v>
      </c>
      <c r="F937" s="4">
        <f t="shared" si="56"/>
        <v>3.7776514643677313E+43</v>
      </c>
      <c r="G937" s="4">
        <f t="shared" si="57"/>
        <v>3.7776514643677313E+43</v>
      </c>
      <c r="H937" s="4">
        <f>SalaryFTECount*SalaryPerFTE*(1+SalaryGrowth)^935</f>
        <v>1.7717055233160404E+21</v>
      </c>
      <c r="I937" s="4">
        <f>SimOpsY1*(1+SimOpsGrowth)^935</f>
        <v>5.3497394999950192E+35</v>
      </c>
      <c r="J937" s="4">
        <f>TrainDevY1*(1+TrainDevGrowth)^935</f>
        <v>2.6748697499975096E+35</v>
      </c>
      <c r="K937" s="4">
        <f>AdminY1*(1+AdminGrowth)^935</f>
        <v>9.1625006450539754E+27</v>
      </c>
      <c r="L937" s="4">
        <f t="shared" si="58"/>
        <v>8.0246093416175527E+35</v>
      </c>
      <c r="M937" s="4">
        <f t="shared" si="59"/>
        <v>3.777651384121638E+43</v>
      </c>
    </row>
    <row r="938" spans="1:13" x14ac:dyDescent="0.2">
      <c r="A938" s="3">
        <f>StartYear+936</f>
        <v>2961</v>
      </c>
      <c r="B938" s="4">
        <f>FacultyFTE*HoursPerWeek*WeeksPerYear*RatePerHour*(1+PracticeGrowth)^936</f>
        <v>1.9614462756191987E+25</v>
      </c>
      <c r="C938" s="4">
        <f>StudentsY1*(1+StudentGrowth)^936*CreditsPerStudent*TuitionPerCredit</f>
        <v>1.2259039222619992E+26</v>
      </c>
      <c r="D938" s="4">
        <f>SimRevY1*(1+SimGrowth)^936</f>
        <v>2.770277740536336E+43</v>
      </c>
      <c r="E938" s="4">
        <f>FacDevRevY1*(1+FacDevGrowth)^936</f>
        <v>1.385138870268168E+43</v>
      </c>
      <c r="F938" s="4">
        <f t="shared" si="56"/>
        <v>4.155416610804504E+43</v>
      </c>
      <c r="G938" s="4">
        <f t="shared" si="57"/>
        <v>4.155416610804504E+43</v>
      </c>
      <c r="H938" s="4">
        <f>SalaryFTECount*SalaryPerFTE*(1+SalaryGrowth)^936</f>
        <v>1.842573744248683E+21</v>
      </c>
      <c r="I938" s="4">
        <f>SimOpsY1*(1+SimOpsGrowth)^936</f>
        <v>5.7777186599946217E+35</v>
      </c>
      <c r="J938" s="4">
        <f>TrainDevY1*(1+TrainDevGrowth)^936</f>
        <v>2.8888593299973109E+35</v>
      </c>
      <c r="K938" s="4">
        <f>AdminY1*(1+AdminGrowth)^936</f>
        <v>9.712250683757211E+27</v>
      </c>
      <c r="L938" s="4">
        <f t="shared" si="58"/>
        <v>8.6665780871144585E+35</v>
      </c>
      <c r="M938" s="4">
        <f t="shared" si="59"/>
        <v>4.1554165241387229E+43</v>
      </c>
    </row>
    <row r="939" spans="1:13" x14ac:dyDescent="0.2">
      <c r="A939" s="3">
        <f>StartYear+937</f>
        <v>2962</v>
      </c>
      <c r="B939" s="4">
        <f>FacultyFTE*HoursPerWeek*WeeksPerYear*RatePerHour*(1+PracticeGrowth)^937</f>
        <v>2.0595185894001592E+25</v>
      </c>
      <c r="C939" s="4">
        <f>StudentsY1*(1+StudentGrowth)^937*CreditsPerStudent*TuitionPerCredit</f>
        <v>1.2871991183750996E+26</v>
      </c>
      <c r="D939" s="4">
        <f>SimRevY1*(1+SimGrowth)^937</f>
        <v>3.0473055145899706E+43</v>
      </c>
      <c r="E939" s="4">
        <f>FacDevRevY1*(1+FacDevGrowth)^937</f>
        <v>1.5236527572949853E+43</v>
      </c>
      <c r="F939" s="4">
        <f t="shared" si="56"/>
        <v>4.5709582718849561E+43</v>
      </c>
      <c r="G939" s="4">
        <f t="shared" si="57"/>
        <v>4.5709582718849561E+43</v>
      </c>
      <c r="H939" s="4">
        <f>SalaryFTECount*SalaryPerFTE*(1+SalaryGrowth)^937</f>
        <v>1.9162766940186298E+21</v>
      </c>
      <c r="I939" s="4">
        <f>SimOpsY1*(1+SimOpsGrowth)^937</f>
        <v>6.239936152794191E+35</v>
      </c>
      <c r="J939" s="4">
        <f>TrainDevY1*(1+TrainDevGrowth)^937</f>
        <v>3.1199680763970955E+35</v>
      </c>
      <c r="K939" s="4">
        <f>AdminY1*(1+AdminGrowth)^937</f>
        <v>1.0294985724782644E+28</v>
      </c>
      <c r="L939" s="4">
        <f t="shared" si="58"/>
        <v>9.3599043321411639E+35</v>
      </c>
      <c r="M939" s="4">
        <f t="shared" si="59"/>
        <v>4.5709581782859131E+43</v>
      </c>
    </row>
    <row r="940" spans="1:13" x14ac:dyDescent="0.2">
      <c r="A940" s="3">
        <f>StartYear+938</f>
        <v>2963</v>
      </c>
      <c r="B940" s="4">
        <f>FacultyFTE*HoursPerWeek*WeeksPerYear*RatePerHour*(1+PracticeGrowth)^938</f>
        <v>2.1624945188701674E+25</v>
      </c>
      <c r="C940" s="4">
        <f>StudentsY1*(1+StudentGrowth)^938*CreditsPerStudent*TuitionPerCredit</f>
        <v>1.3515590742938546E+26</v>
      </c>
      <c r="D940" s="4">
        <f>SimRevY1*(1+SimGrowth)^938</f>
        <v>3.3520360660489672E+43</v>
      </c>
      <c r="E940" s="4">
        <f>FacDevRevY1*(1+FacDevGrowth)^938</f>
        <v>1.6760180330244836E+43</v>
      </c>
      <c r="F940" s="4">
        <f t="shared" si="56"/>
        <v>5.028054099073451E+43</v>
      </c>
      <c r="G940" s="4">
        <f t="shared" si="57"/>
        <v>5.028054099073451E+43</v>
      </c>
      <c r="H940" s="4">
        <f>SalaryFTECount*SalaryPerFTE*(1+SalaryGrowth)^938</f>
        <v>1.9929277617793752E+21</v>
      </c>
      <c r="I940" s="4">
        <f>SimOpsY1*(1+SimOpsGrowth)^938</f>
        <v>6.7391310450177261E+35</v>
      </c>
      <c r="J940" s="4">
        <f>TrainDevY1*(1+TrainDevGrowth)^938</f>
        <v>3.369565522508863E+35</v>
      </c>
      <c r="K940" s="4">
        <f>AdminY1*(1+AdminGrowth)^938</f>
        <v>1.0912684868269606E+28</v>
      </c>
      <c r="L940" s="4">
        <f t="shared" si="58"/>
        <v>1.0108696676653458E+36</v>
      </c>
      <c r="M940" s="4">
        <f t="shared" si="59"/>
        <v>5.0280539979864841E+43</v>
      </c>
    </row>
    <row r="941" spans="1:13" x14ac:dyDescent="0.2">
      <c r="A941" s="3">
        <f>StartYear+939</f>
        <v>2964</v>
      </c>
      <c r="B941" s="4">
        <f>FacultyFTE*HoursPerWeek*WeeksPerYear*RatePerHour*(1+PracticeGrowth)^939</f>
        <v>2.2706192448136757E+25</v>
      </c>
      <c r="C941" s="4">
        <f>StudentsY1*(1+StudentGrowth)^939*CreditsPerStudent*TuitionPerCredit</f>
        <v>1.4191370280085471E+26</v>
      </c>
      <c r="D941" s="4">
        <f>SimRevY1*(1+SimGrowth)^939</f>
        <v>3.6872396726538649E+43</v>
      </c>
      <c r="E941" s="4">
        <f>FacDevRevY1*(1+FacDevGrowth)^939</f>
        <v>1.8436198363269324E+43</v>
      </c>
      <c r="F941" s="4">
        <f t="shared" si="56"/>
        <v>5.5308595089807975E+43</v>
      </c>
      <c r="G941" s="4">
        <f t="shared" si="57"/>
        <v>5.5308595089807975E+43</v>
      </c>
      <c r="H941" s="4">
        <f>SalaryFTECount*SalaryPerFTE*(1+SalaryGrowth)^939</f>
        <v>2.0726448722505506E+21</v>
      </c>
      <c r="I941" s="4">
        <f>SimOpsY1*(1+SimOpsGrowth)^939</f>
        <v>7.2782615286191452E+35</v>
      </c>
      <c r="J941" s="4">
        <f>TrainDevY1*(1+TrainDevGrowth)^939</f>
        <v>3.6391307643095726E+35</v>
      </c>
      <c r="K941" s="4">
        <f>AdminY1*(1+AdminGrowth)^939</f>
        <v>1.1567445960365782E+28</v>
      </c>
      <c r="L941" s="4">
        <f t="shared" si="58"/>
        <v>1.0917392408603198E+36</v>
      </c>
      <c r="M941" s="4">
        <f t="shared" si="59"/>
        <v>5.5308593998068734E+43</v>
      </c>
    </row>
    <row r="942" spans="1:13" x14ac:dyDescent="0.2">
      <c r="A942" s="3">
        <f>StartYear+940</f>
        <v>2965</v>
      </c>
      <c r="B942" s="4">
        <f>FacultyFTE*HoursPerWeek*WeeksPerYear*RatePerHour*(1+PracticeGrowth)^940</f>
        <v>2.3841502070543592E+25</v>
      </c>
      <c r="C942" s="4">
        <f>StudentsY1*(1+StudentGrowth)^940*CreditsPerStudent*TuitionPerCredit</f>
        <v>1.4900938794089745E+26</v>
      </c>
      <c r="D942" s="4">
        <f>SimRevY1*(1+SimGrowth)^940</f>
        <v>4.0559636399192508E+43</v>
      </c>
      <c r="E942" s="4">
        <f>FacDevRevY1*(1+FacDevGrowth)^940</f>
        <v>2.0279818199596254E+43</v>
      </c>
      <c r="F942" s="4">
        <f t="shared" si="56"/>
        <v>6.0839454598788767E+43</v>
      </c>
      <c r="G942" s="4">
        <f t="shared" si="57"/>
        <v>6.0839454598788767E+43</v>
      </c>
      <c r="H942" s="4">
        <f>SalaryFTECount*SalaryPerFTE*(1+SalaryGrowth)^940</f>
        <v>2.1555506671405724E+21</v>
      </c>
      <c r="I942" s="4">
        <f>SimOpsY1*(1+SimOpsGrowth)^940</f>
        <v>7.8605224509086764E+35</v>
      </c>
      <c r="J942" s="4">
        <f>TrainDevY1*(1+TrainDevGrowth)^940</f>
        <v>3.9302612254543382E+35</v>
      </c>
      <c r="K942" s="4">
        <f>AdminY1*(1+AdminGrowth)^940</f>
        <v>1.2261492717987728E+28</v>
      </c>
      <c r="L942" s="4">
        <f t="shared" si="58"/>
        <v>1.1790783798977965E+36</v>
      </c>
      <c r="M942" s="4">
        <f t="shared" si="59"/>
        <v>6.083945341971039E+43</v>
      </c>
    </row>
    <row r="943" spans="1:13" x14ac:dyDescent="0.2">
      <c r="A943" s="3">
        <f>StartYear+941</f>
        <v>2966</v>
      </c>
      <c r="B943" s="4">
        <f>FacultyFTE*HoursPerWeek*WeeksPerYear*RatePerHour*(1+PracticeGrowth)^941</f>
        <v>2.5033577174070778E+25</v>
      </c>
      <c r="C943" s="4">
        <f>StudentsY1*(1+StudentGrowth)^941*CreditsPerStudent*TuitionPerCredit</f>
        <v>1.5645985733794236E+26</v>
      </c>
      <c r="D943" s="4">
        <f>SimRevY1*(1+SimGrowth)^941</f>
        <v>4.461560003911177E+43</v>
      </c>
      <c r="E943" s="4">
        <f>FacDevRevY1*(1+FacDevGrowth)^941</f>
        <v>2.2307800019555885E+43</v>
      </c>
      <c r="F943" s="4">
        <f t="shared" si="56"/>
        <v>6.6923400058667659E+43</v>
      </c>
      <c r="G943" s="4">
        <f t="shared" si="57"/>
        <v>6.6923400058667659E+43</v>
      </c>
      <c r="H943" s="4">
        <f>SalaryFTECount*SalaryPerFTE*(1+SalaryGrowth)^941</f>
        <v>2.2417726938261954E+21</v>
      </c>
      <c r="I943" s="4">
        <f>SimOpsY1*(1+SimOpsGrowth)^941</f>
        <v>8.4893642469813713E+35</v>
      </c>
      <c r="J943" s="4">
        <f>TrainDevY1*(1+TrainDevGrowth)^941</f>
        <v>4.2446821234906857E+35</v>
      </c>
      <c r="K943" s="4">
        <f>AdminY1*(1+AdminGrowth)^941</f>
        <v>1.2997182281066993E+28</v>
      </c>
      <c r="L943" s="4">
        <f t="shared" si="58"/>
        <v>1.2734046500443902E+36</v>
      </c>
      <c r="M943" s="4">
        <f t="shared" si="59"/>
        <v>6.6923398785263005E+43</v>
      </c>
    </row>
    <row r="944" spans="1:13" x14ac:dyDescent="0.2">
      <c r="A944" s="3">
        <f>StartYear+942</f>
        <v>2967</v>
      </c>
      <c r="B944" s="4">
        <f>FacultyFTE*HoursPerWeek*WeeksPerYear*RatePerHour*(1+PracticeGrowth)^942</f>
        <v>2.6285256032774313E+25</v>
      </c>
      <c r="C944" s="4">
        <f>StudentsY1*(1+StudentGrowth)^942*CreditsPerStudent*TuitionPerCredit</f>
        <v>1.6428285020483945E+26</v>
      </c>
      <c r="D944" s="4">
        <f>SimRevY1*(1+SimGrowth)^942</f>
        <v>4.907716004302295E+43</v>
      </c>
      <c r="E944" s="4">
        <f>FacDevRevY1*(1+FacDevGrowth)^942</f>
        <v>2.4538580021511475E+43</v>
      </c>
      <c r="F944" s="4">
        <f t="shared" si="56"/>
        <v>7.3615740064534419E+43</v>
      </c>
      <c r="G944" s="4">
        <f t="shared" si="57"/>
        <v>7.3615740064534419E+43</v>
      </c>
      <c r="H944" s="4">
        <f>SalaryFTECount*SalaryPerFTE*(1+SalaryGrowth)^942</f>
        <v>2.3314436015792435E+21</v>
      </c>
      <c r="I944" s="4">
        <f>SimOpsY1*(1+SimOpsGrowth)^942</f>
        <v>9.1685133867398817E+35</v>
      </c>
      <c r="J944" s="4">
        <f>TrainDevY1*(1+TrainDevGrowth)^942</f>
        <v>4.5842566933699408E+35</v>
      </c>
      <c r="K944" s="4">
        <f>AdminY1*(1+AdminGrowth)^942</f>
        <v>1.3777013217931014E+28</v>
      </c>
      <c r="L944" s="4">
        <f t="shared" si="58"/>
        <v>1.3752770217879976E+36</v>
      </c>
      <c r="M944" s="4">
        <f t="shared" si="59"/>
        <v>7.3615738689257401E+43</v>
      </c>
    </row>
    <row r="945" spans="1:13" x14ac:dyDescent="0.2">
      <c r="A945" s="3">
        <f>StartYear+943</f>
        <v>2968</v>
      </c>
      <c r="B945" s="4">
        <f>FacultyFTE*HoursPerWeek*WeeksPerYear*RatePerHour*(1+PracticeGrowth)^943</f>
        <v>2.7599518834413032E+25</v>
      </c>
      <c r="C945" s="4">
        <f>StudentsY1*(1+StudentGrowth)^943*CreditsPerStudent*TuitionPerCredit</f>
        <v>1.7249699271508147E+26</v>
      </c>
      <c r="D945" s="4">
        <f>SimRevY1*(1+SimGrowth)^943</f>
        <v>5.3984876047325244E+43</v>
      </c>
      <c r="E945" s="4">
        <f>FacDevRevY1*(1+FacDevGrowth)^943</f>
        <v>2.6992438023662622E+43</v>
      </c>
      <c r="F945" s="4">
        <f t="shared" si="56"/>
        <v>8.0977314070987865E+43</v>
      </c>
      <c r="G945" s="4">
        <f t="shared" si="57"/>
        <v>8.0977314070987865E+43</v>
      </c>
      <c r="H945" s="4">
        <f>SalaryFTECount*SalaryPerFTE*(1+SalaryGrowth)^943</f>
        <v>2.4247013456424133E+21</v>
      </c>
      <c r="I945" s="4">
        <f>SimOpsY1*(1+SimOpsGrowth)^943</f>
        <v>9.901994457679073E+35</v>
      </c>
      <c r="J945" s="4">
        <f>TrainDevY1*(1+TrainDevGrowth)^943</f>
        <v>4.9509972288395365E+35</v>
      </c>
      <c r="K945" s="4">
        <f>AdminY1*(1+AdminGrowth)^943</f>
        <v>1.460363401100688E+28</v>
      </c>
      <c r="L945" s="4">
        <f t="shared" si="58"/>
        <v>1.4852991832554976E+36</v>
      </c>
      <c r="M945" s="4">
        <f t="shared" si="59"/>
        <v>8.0977312585688679E+43</v>
      </c>
    </row>
    <row r="946" spans="1:13" x14ac:dyDescent="0.2">
      <c r="A946" s="3">
        <f>StartYear+944</f>
        <v>2969</v>
      </c>
      <c r="B946" s="4">
        <f>FacultyFTE*HoursPerWeek*WeeksPerYear*RatePerHour*(1+PracticeGrowth)^944</f>
        <v>2.8979494776133679E+25</v>
      </c>
      <c r="C946" s="4">
        <f>StudentsY1*(1+StudentGrowth)^944*CreditsPerStudent*TuitionPerCredit</f>
        <v>1.8112184235083551E+26</v>
      </c>
      <c r="D946" s="4">
        <f>SimRevY1*(1+SimGrowth)^944</f>
        <v>5.9383363652057768E+43</v>
      </c>
      <c r="E946" s="4">
        <f>FacDevRevY1*(1+FacDevGrowth)^944</f>
        <v>2.9691681826028884E+43</v>
      </c>
      <c r="F946" s="4">
        <f t="shared" si="56"/>
        <v>8.9075045478086657E+43</v>
      </c>
      <c r="G946" s="4">
        <f t="shared" si="57"/>
        <v>8.9075045478086657E+43</v>
      </c>
      <c r="H946" s="4">
        <f>SalaryFTECount*SalaryPerFTE*(1+SalaryGrowth)^944</f>
        <v>2.5216893994681101E+21</v>
      </c>
      <c r="I946" s="4">
        <f>SimOpsY1*(1+SimOpsGrowth)^944</f>
        <v>1.0694154014293399E+36</v>
      </c>
      <c r="J946" s="4">
        <f>TrainDevY1*(1+TrainDevGrowth)^944</f>
        <v>5.3470770071466996E+35</v>
      </c>
      <c r="K946" s="4">
        <f>AdminY1*(1+AdminGrowth)^944</f>
        <v>1.5479852051667286E+28</v>
      </c>
      <c r="L946" s="4">
        <f t="shared" si="58"/>
        <v>1.6041231176238646E+36</v>
      </c>
      <c r="M946" s="4">
        <f t="shared" si="59"/>
        <v>8.9075043873963538E+43</v>
      </c>
    </row>
    <row r="947" spans="1:13" x14ac:dyDescent="0.2">
      <c r="A947" s="3">
        <f>StartYear+945</f>
        <v>2970</v>
      </c>
      <c r="B947" s="4">
        <f>FacultyFTE*HoursPerWeek*WeeksPerYear*RatePerHour*(1+PracticeGrowth)^945</f>
        <v>3.0428469514940372E+25</v>
      </c>
      <c r="C947" s="4">
        <f>StudentsY1*(1+StudentGrowth)^945*CreditsPerStudent*TuitionPerCredit</f>
        <v>1.9017793446837731E+26</v>
      </c>
      <c r="D947" s="4">
        <f>SimRevY1*(1+SimGrowth)^945</f>
        <v>6.5321700017263569E+43</v>
      </c>
      <c r="E947" s="4">
        <f>FacDevRevY1*(1+FacDevGrowth)^945</f>
        <v>3.2660850008631785E+43</v>
      </c>
      <c r="F947" s="4">
        <f t="shared" si="56"/>
        <v>9.7982550025895344E+43</v>
      </c>
      <c r="G947" s="4">
        <f t="shared" si="57"/>
        <v>9.7982550025895344E+43</v>
      </c>
      <c r="H947" s="4">
        <f>SalaryFTECount*SalaryPerFTE*(1+SalaryGrowth)^945</f>
        <v>2.6225569754468345E+21</v>
      </c>
      <c r="I947" s="4">
        <f>SimOpsY1*(1+SimOpsGrowth)^945</f>
        <v>1.1549686335436871E+36</v>
      </c>
      <c r="J947" s="4">
        <f>TrainDevY1*(1+TrainDevGrowth)^945</f>
        <v>5.7748431677184355E+35</v>
      </c>
      <c r="K947" s="4">
        <f>AdminY1*(1+AdminGrowth)^945</f>
        <v>1.6408643174767326E+28</v>
      </c>
      <c r="L947" s="4">
        <f t="shared" si="58"/>
        <v>1.7324529667241765E+36</v>
      </c>
      <c r="M947" s="4">
        <f t="shared" si="59"/>
        <v>9.798254829344237E+43</v>
      </c>
    </row>
    <row r="948" spans="1:13" x14ac:dyDescent="0.2">
      <c r="A948" s="3">
        <f>StartYear+946</f>
        <v>2971</v>
      </c>
      <c r="B948" s="4">
        <f>FacultyFTE*HoursPerWeek*WeeksPerYear*RatePerHour*(1+PracticeGrowth)^946</f>
        <v>3.1949892990687391E+25</v>
      </c>
      <c r="C948" s="4">
        <f>StudentsY1*(1+StudentGrowth)^946*CreditsPerStudent*TuitionPerCredit</f>
        <v>1.996868311917962E+26</v>
      </c>
      <c r="D948" s="4">
        <f>SimRevY1*(1+SimGrowth)^946</f>
        <v>7.1853870018989924E+43</v>
      </c>
      <c r="E948" s="4">
        <f>FacDevRevY1*(1+FacDevGrowth)^946</f>
        <v>3.5926935009494962E+43</v>
      </c>
      <c r="F948" s="4">
        <f t="shared" si="56"/>
        <v>1.0778080502848489E+44</v>
      </c>
      <c r="G948" s="4">
        <f t="shared" si="57"/>
        <v>1.0778080502848489E+44</v>
      </c>
      <c r="H948" s="4">
        <f>SalaryFTECount*SalaryPerFTE*(1+SalaryGrowth)^946</f>
        <v>2.7274592544647078E+21</v>
      </c>
      <c r="I948" s="4">
        <f>SimOpsY1*(1+SimOpsGrowth)^946</f>
        <v>1.2473661242271821E+36</v>
      </c>
      <c r="J948" s="4">
        <f>TrainDevY1*(1+TrainDevGrowth)^946</f>
        <v>6.2368306211359103E+35</v>
      </c>
      <c r="K948" s="4">
        <f>AdminY1*(1+AdminGrowth)^946</f>
        <v>1.7393161765253366E+28</v>
      </c>
      <c r="L948" s="4">
        <f t="shared" si="58"/>
        <v>1.8710492037339376E+36</v>
      </c>
      <c r="M948" s="4">
        <f t="shared" si="59"/>
        <v>1.0778080315743569E+44</v>
      </c>
    </row>
    <row r="949" spans="1:13" x14ac:dyDescent="0.2">
      <c r="A949" s="3">
        <f>StartYear+947</f>
        <v>2972</v>
      </c>
      <c r="B949" s="4">
        <f>FacultyFTE*HoursPerWeek*WeeksPerYear*RatePerHour*(1+PracticeGrowth)^947</f>
        <v>3.354738764022176E+25</v>
      </c>
      <c r="C949" s="4">
        <f>StudentsY1*(1+StudentGrowth)^947*CreditsPerStudent*TuitionPerCredit</f>
        <v>2.0967117275138601E+26</v>
      </c>
      <c r="D949" s="4">
        <f>SimRevY1*(1+SimGrowth)^947</f>
        <v>7.9039257020888933E+43</v>
      </c>
      <c r="E949" s="4">
        <f>FacDevRevY1*(1+FacDevGrowth)^947</f>
        <v>3.9519628510444466E+43</v>
      </c>
      <c r="F949" s="4">
        <f t="shared" si="56"/>
        <v>1.185588855313334E+44</v>
      </c>
      <c r="G949" s="4">
        <f t="shared" si="57"/>
        <v>1.185588855313334E+44</v>
      </c>
      <c r="H949" s="4">
        <f>SalaryFTECount*SalaryPerFTE*(1+SalaryGrowth)^947</f>
        <v>2.836557624643297E+21</v>
      </c>
      <c r="I949" s="4">
        <f>SimOpsY1*(1+SimOpsGrowth)^947</f>
        <v>1.347155414165357E+36</v>
      </c>
      <c r="J949" s="4">
        <f>TrainDevY1*(1+TrainDevGrowth)^947</f>
        <v>6.7357770708267852E+35</v>
      </c>
      <c r="K949" s="4">
        <f>AdminY1*(1+AdminGrowth)^947</f>
        <v>1.8436751471168572E+28</v>
      </c>
      <c r="L949" s="4">
        <f t="shared" si="58"/>
        <v>2.0207331396847901E+36</v>
      </c>
      <c r="M949" s="4">
        <f t="shared" si="59"/>
        <v>1.1855888351060026E+44</v>
      </c>
    </row>
    <row r="950" spans="1:13" x14ac:dyDescent="0.2">
      <c r="A950" s="3">
        <f>StartYear+948</f>
        <v>2973</v>
      </c>
      <c r="B950" s="4">
        <f>FacultyFTE*HoursPerWeek*WeeksPerYear*RatePerHour*(1+PracticeGrowth)^948</f>
        <v>3.5224757022232843E+25</v>
      </c>
      <c r="C950" s="4">
        <f>StudentsY1*(1+StudentGrowth)^948*CreditsPerStudent*TuitionPerCredit</f>
        <v>2.2015473138895531E+26</v>
      </c>
      <c r="D950" s="4">
        <f>SimRevY1*(1+SimGrowth)^948</f>
        <v>8.694318272297781E+43</v>
      </c>
      <c r="E950" s="4">
        <f>FacDevRevY1*(1+FacDevGrowth)^948</f>
        <v>4.3471591361488905E+43</v>
      </c>
      <c r="F950" s="4">
        <f t="shared" si="56"/>
        <v>1.3041477408446671E+44</v>
      </c>
      <c r="G950" s="4">
        <f t="shared" si="57"/>
        <v>1.3041477408446671E+44</v>
      </c>
      <c r="H950" s="4">
        <f>SalaryFTECount*SalaryPerFTE*(1+SalaryGrowth)^948</f>
        <v>2.950019929629028E+21</v>
      </c>
      <c r="I950" s="4">
        <f>SimOpsY1*(1+SimOpsGrowth)^948</f>
        <v>1.4549278472985852E+36</v>
      </c>
      <c r="J950" s="4">
        <f>TrainDevY1*(1+TrainDevGrowth)^948</f>
        <v>7.274639236492926E+35</v>
      </c>
      <c r="K950" s="4">
        <f>AdminY1*(1+AdminGrowth)^948</f>
        <v>1.9542956559438682E+28</v>
      </c>
      <c r="L950" s="4">
        <f t="shared" si="58"/>
        <v>2.1823917904908373E+36</v>
      </c>
      <c r="M950" s="4">
        <f t="shared" si="59"/>
        <v>1.3041477190207492E+44</v>
      </c>
    </row>
    <row r="951" spans="1:13" x14ac:dyDescent="0.2">
      <c r="A951" s="3">
        <f>StartYear+949</f>
        <v>2974</v>
      </c>
      <c r="B951" s="4">
        <f>FacultyFTE*HoursPerWeek*WeeksPerYear*RatePerHour*(1+PracticeGrowth)^949</f>
        <v>3.6985994873344486E+25</v>
      </c>
      <c r="C951" s="4">
        <f>StudentsY1*(1+StudentGrowth)^949*CreditsPerStudent*TuitionPerCredit</f>
        <v>2.3116246795840303E+26</v>
      </c>
      <c r="D951" s="4">
        <f>SimRevY1*(1+SimGrowth)^949</f>
        <v>9.5637500995275605E+43</v>
      </c>
      <c r="E951" s="4">
        <f>FacDevRevY1*(1+FacDevGrowth)^949</f>
        <v>4.7818750497637803E+43</v>
      </c>
      <c r="F951" s="4">
        <f t="shared" si="56"/>
        <v>1.4345625149291341E+44</v>
      </c>
      <c r="G951" s="4">
        <f t="shared" si="57"/>
        <v>1.4345625149291341E+44</v>
      </c>
      <c r="H951" s="4">
        <f>SalaryFTECount*SalaryPerFTE*(1+SalaryGrowth)^949</f>
        <v>3.0680207268141901E+21</v>
      </c>
      <c r="I951" s="4">
        <f>SimOpsY1*(1+SimOpsGrowth)^949</f>
        <v>1.5713220750824723E+36</v>
      </c>
      <c r="J951" s="4">
        <f>TrainDevY1*(1+TrainDevGrowth)^949</f>
        <v>7.8566103754123614E+35</v>
      </c>
      <c r="K951" s="4">
        <f>AdminY1*(1+AdminGrowth)^949</f>
        <v>2.0715533953005014E+28</v>
      </c>
      <c r="L951" s="4">
        <f t="shared" si="58"/>
        <v>2.3569831333392453E+36</v>
      </c>
      <c r="M951" s="4">
        <f t="shared" si="59"/>
        <v>1.4345624913593028E+44</v>
      </c>
    </row>
    <row r="952" spans="1:13" x14ac:dyDescent="0.2">
      <c r="A952" s="3">
        <f>StartYear+950</f>
        <v>2975</v>
      </c>
      <c r="B952" s="4">
        <f>FacultyFTE*HoursPerWeek*WeeksPerYear*RatePerHour*(1+PracticeGrowth)^950</f>
        <v>3.8835294617011706E+25</v>
      </c>
      <c r="C952" s="4">
        <f>StudentsY1*(1+StudentGrowth)^950*CreditsPerStudent*TuitionPerCredit</f>
        <v>2.4272059135632318E+26</v>
      </c>
      <c r="D952" s="4">
        <f>SimRevY1*(1+SimGrowth)^950</f>
        <v>1.0520125109480315E+44</v>
      </c>
      <c r="E952" s="4">
        <f>FacDevRevY1*(1+FacDevGrowth)^950</f>
        <v>5.2600625547401577E+43</v>
      </c>
      <c r="F952" s="4">
        <f t="shared" si="56"/>
        <v>1.5780187664220473E+44</v>
      </c>
      <c r="G952" s="4">
        <f t="shared" si="57"/>
        <v>1.5780187664220473E+44</v>
      </c>
      <c r="H952" s="4">
        <f>SalaryFTECount*SalaryPerFTE*(1+SalaryGrowth)^950</f>
        <v>3.1907415558867575E+21</v>
      </c>
      <c r="I952" s="4">
        <f>SimOpsY1*(1+SimOpsGrowth)^950</f>
        <v>1.6970278410890707E+36</v>
      </c>
      <c r="J952" s="4">
        <f>TrainDevY1*(1+TrainDevGrowth)^950</f>
        <v>8.4851392054453535E+35</v>
      </c>
      <c r="K952" s="4">
        <f>AdminY1*(1+AdminGrowth)^950</f>
        <v>2.195846599018531E+28</v>
      </c>
      <c r="L952" s="4">
        <f t="shared" si="58"/>
        <v>2.5455417835920754E+36</v>
      </c>
      <c r="M952" s="4">
        <f t="shared" si="59"/>
        <v>1.5780187409666295E+44</v>
      </c>
    </row>
    <row r="953" spans="1:13" x14ac:dyDescent="0.2">
      <c r="A953" s="3">
        <f>StartYear+951</f>
        <v>2976</v>
      </c>
      <c r="B953" s="4">
        <f>FacultyFTE*HoursPerWeek*WeeksPerYear*RatePerHour*(1+PracticeGrowth)^951</f>
        <v>4.0777059347862306E+25</v>
      </c>
      <c r="C953" s="4">
        <f>StudentsY1*(1+StudentGrowth)^951*CreditsPerStudent*TuitionPerCredit</f>
        <v>2.5485662092413942E+26</v>
      </c>
      <c r="D953" s="4">
        <f>SimRevY1*(1+SimGrowth)^951</f>
        <v>1.1572137620428351E+44</v>
      </c>
      <c r="E953" s="4">
        <f>FacDevRevY1*(1+FacDevGrowth)^951</f>
        <v>5.7860688102141754E+43</v>
      </c>
      <c r="F953" s="4">
        <f t="shared" si="56"/>
        <v>1.7358206430642526E+44</v>
      </c>
      <c r="G953" s="4">
        <f t="shared" si="57"/>
        <v>1.7358206430642526E+44</v>
      </c>
      <c r="H953" s="4">
        <f>SalaryFTECount*SalaryPerFTE*(1+SalaryGrowth)^951</f>
        <v>3.3183712181222276E+21</v>
      </c>
      <c r="I953" s="4">
        <f>SimOpsY1*(1+SimOpsGrowth)^951</f>
        <v>1.8327900683761961E+36</v>
      </c>
      <c r="J953" s="4">
        <f>TrainDevY1*(1+TrainDevGrowth)^951</f>
        <v>9.1639503418809804E+35</v>
      </c>
      <c r="K953" s="4">
        <f>AdminY1*(1+AdminGrowth)^951</f>
        <v>2.327597394959643E+28</v>
      </c>
      <c r="L953" s="4">
        <f t="shared" si="58"/>
        <v>2.7491851258402718E+36</v>
      </c>
      <c r="M953" s="4">
        <f t="shared" si="59"/>
        <v>1.7358206155724013E+44</v>
      </c>
    </row>
    <row r="954" spans="1:13" x14ac:dyDescent="0.2">
      <c r="A954" s="3">
        <f>StartYear+952</f>
        <v>2977</v>
      </c>
      <c r="B954" s="4">
        <f>FacultyFTE*HoursPerWeek*WeeksPerYear*RatePerHour*(1+PracticeGrowth)^952</f>
        <v>4.2815912315255408E+25</v>
      </c>
      <c r="C954" s="4">
        <f>StudentsY1*(1+StudentGrowth)^952*CreditsPerStudent*TuitionPerCredit</f>
        <v>2.6759945197034628E+26</v>
      </c>
      <c r="D954" s="4">
        <f>SimRevY1*(1+SimGrowth)^952</f>
        <v>1.2729351382471182E+44</v>
      </c>
      <c r="E954" s="4">
        <f>FacDevRevY1*(1+FacDevGrowth)^952</f>
        <v>6.364675691235591E+43</v>
      </c>
      <c r="F954" s="4">
        <f t="shared" si="56"/>
        <v>1.9094027073706772E+44</v>
      </c>
      <c r="G954" s="4">
        <f t="shared" si="57"/>
        <v>1.9094027073706772E+44</v>
      </c>
      <c r="H954" s="4">
        <f>SalaryFTECount*SalaryPerFTE*(1+SalaryGrowth)^952</f>
        <v>3.4511060668471171E+21</v>
      </c>
      <c r="I954" s="4">
        <f>SimOpsY1*(1+SimOpsGrowth)^952</f>
        <v>1.9794132738462918E+36</v>
      </c>
      <c r="J954" s="4">
        <f>TrainDevY1*(1+TrainDevGrowth)^952</f>
        <v>9.8970663692314588E+35</v>
      </c>
      <c r="K954" s="4">
        <f>AdminY1*(1+AdminGrowth)^952</f>
        <v>2.4672532386572213E+28</v>
      </c>
      <c r="L954" s="4">
        <f t="shared" si="58"/>
        <v>2.9691199354419738E+36</v>
      </c>
      <c r="M954" s="4">
        <f t="shared" si="59"/>
        <v>1.909402677679478E+44</v>
      </c>
    </row>
    <row r="955" spans="1:13" x14ac:dyDescent="0.2">
      <c r="A955" s="3">
        <f>StartYear+953</f>
        <v>2978</v>
      </c>
      <c r="B955" s="4">
        <f>FacultyFTE*HoursPerWeek*WeeksPerYear*RatePerHour*(1+PracticeGrowth)^953</f>
        <v>4.4956707931018187E+25</v>
      </c>
      <c r="C955" s="4">
        <f>StudentsY1*(1+StudentGrowth)^953*CreditsPerStudent*TuitionPerCredit</f>
        <v>2.8097942456886364E+26</v>
      </c>
      <c r="D955" s="4">
        <f>SimRevY1*(1+SimGrowth)^953</f>
        <v>1.4002286520718305E+44</v>
      </c>
      <c r="E955" s="4">
        <f>FacDevRevY1*(1+FacDevGrowth)^953</f>
        <v>7.0011432603591526E+43</v>
      </c>
      <c r="F955" s="4">
        <f t="shared" si="56"/>
        <v>2.1003429781077459E+44</v>
      </c>
      <c r="G955" s="4">
        <f t="shared" si="57"/>
        <v>2.1003429781077459E+44</v>
      </c>
      <c r="H955" s="4">
        <f>SalaryFTECount*SalaryPerFTE*(1+SalaryGrowth)^953</f>
        <v>3.5891503095210023E+21</v>
      </c>
      <c r="I955" s="4">
        <f>SimOpsY1*(1+SimOpsGrowth)^953</f>
        <v>2.1377663357539955E+36</v>
      </c>
      <c r="J955" s="4">
        <f>TrainDevY1*(1+TrainDevGrowth)^953</f>
        <v>1.0688831678769978E+36</v>
      </c>
      <c r="K955" s="4">
        <f>AdminY1*(1+AdminGrowth)^953</f>
        <v>2.6152884329766549E+28</v>
      </c>
      <c r="L955" s="4">
        <f t="shared" si="58"/>
        <v>3.2066495297838809E+36</v>
      </c>
      <c r="M955" s="4">
        <f t="shared" si="59"/>
        <v>2.1003429460412507E+44</v>
      </c>
    </row>
    <row r="956" spans="1:13" x14ac:dyDescent="0.2">
      <c r="A956" s="3">
        <f>StartYear+954</f>
        <v>2979</v>
      </c>
      <c r="B956" s="4">
        <f>FacultyFTE*HoursPerWeek*WeeksPerYear*RatePerHour*(1+PracticeGrowth)^954</f>
        <v>4.7204543327569098E+25</v>
      </c>
      <c r="C956" s="4">
        <f>StudentsY1*(1+StudentGrowth)^954*CreditsPerStudent*TuitionPerCredit</f>
        <v>2.9502839579730685E+26</v>
      </c>
      <c r="D956" s="4">
        <f>SimRevY1*(1+SimGrowth)^954</f>
        <v>1.5402515172790135E+44</v>
      </c>
      <c r="E956" s="4">
        <f>FacDevRevY1*(1+FacDevGrowth)^954</f>
        <v>7.7012575863950677E+43</v>
      </c>
      <c r="F956" s="4">
        <f t="shared" si="56"/>
        <v>2.3103772759185204E+44</v>
      </c>
      <c r="G956" s="4">
        <f t="shared" si="57"/>
        <v>2.3103772759185204E+44</v>
      </c>
      <c r="H956" s="4">
        <f>SalaryFTECount*SalaryPerFTE*(1+SalaryGrowth)^954</f>
        <v>3.732716321901842E+21</v>
      </c>
      <c r="I956" s="4">
        <f>SimOpsY1*(1+SimOpsGrowth)^954</f>
        <v>2.308787642614315E+36</v>
      </c>
      <c r="J956" s="4">
        <f>TrainDevY1*(1+TrainDevGrowth)^954</f>
        <v>1.1543938213071575E+36</v>
      </c>
      <c r="K956" s="4">
        <f>AdminY1*(1+AdminGrowth)^954</f>
        <v>2.7722057389552535E+28</v>
      </c>
      <c r="L956" s="4">
        <f t="shared" si="58"/>
        <v>3.4631814916435338E+36</v>
      </c>
      <c r="M956" s="4">
        <f t="shared" si="59"/>
        <v>2.3103772412867053E+44</v>
      </c>
    </row>
    <row r="957" spans="1:13" x14ac:dyDescent="0.2">
      <c r="A957" s="3">
        <f>StartYear+955</f>
        <v>2980</v>
      </c>
      <c r="B957" s="4">
        <f>FacultyFTE*HoursPerWeek*WeeksPerYear*RatePerHour*(1+PracticeGrowth)^955</f>
        <v>4.9564770493947551E+25</v>
      </c>
      <c r="C957" s="4">
        <f>StudentsY1*(1+StudentGrowth)^955*CreditsPerStudent*TuitionPerCredit</f>
        <v>3.0977981558717219E+26</v>
      </c>
      <c r="D957" s="4">
        <f>SimRevY1*(1+SimGrowth)^955</f>
        <v>1.6942766690069153E+44</v>
      </c>
      <c r="E957" s="4">
        <f>FacDevRevY1*(1+FacDevGrowth)^955</f>
        <v>8.4713833450345764E+43</v>
      </c>
      <c r="F957" s="4">
        <f t="shared" si="56"/>
        <v>2.541415003510373E+44</v>
      </c>
      <c r="G957" s="4">
        <f t="shared" si="57"/>
        <v>2.541415003510373E+44</v>
      </c>
      <c r="H957" s="4">
        <f>SalaryFTECount*SalaryPerFTE*(1+SalaryGrowth)^955</f>
        <v>3.8820249747779161E+21</v>
      </c>
      <c r="I957" s="4">
        <f>SimOpsY1*(1+SimOpsGrowth)^955</f>
        <v>2.49349065402346E+36</v>
      </c>
      <c r="J957" s="4">
        <f>TrainDevY1*(1+TrainDevGrowth)^955</f>
        <v>1.24674532701173E+36</v>
      </c>
      <c r="K957" s="4">
        <f>AdminY1*(1+AdminGrowth)^955</f>
        <v>2.9385380832925699E+28</v>
      </c>
      <c r="L957" s="4">
        <f t="shared" si="58"/>
        <v>3.7402360104205742E+36</v>
      </c>
      <c r="M957" s="4">
        <f t="shared" si="59"/>
        <v>2.5414149661080129E+44</v>
      </c>
    </row>
    <row r="958" spans="1:13" x14ac:dyDescent="0.2">
      <c r="A958" s="3">
        <f>StartYear+956</f>
        <v>2981</v>
      </c>
      <c r="B958" s="4">
        <f>FacultyFTE*HoursPerWeek*WeeksPerYear*RatePerHour*(1+PracticeGrowth)^956</f>
        <v>5.2043009018644934E+25</v>
      </c>
      <c r="C958" s="4">
        <f>StudentsY1*(1+StudentGrowth)^956*CreditsPerStudent*TuitionPerCredit</f>
        <v>3.2526880636653084E+26</v>
      </c>
      <c r="D958" s="4">
        <f>SimRevY1*(1+SimGrowth)^956</f>
        <v>1.8637043359076068E+44</v>
      </c>
      <c r="E958" s="4">
        <f>FacDevRevY1*(1+FacDevGrowth)^956</f>
        <v>9.3185216795380341E+43</v>
      </c>
      <c r="F958" s="4">
        <f t="shared" si="56"/>
        <v>2.7955565038614102E+44</v>
      </c>
      <c r="G958" s="4">
        <f t="shared" si="57"/>
        <v>2.7955565038614102E+44</v>
      </c>
      <c r="H958" s="4">
        <f>SalaryFTECount*SalaryPerFTE*(1+SalaryGrowth)^956</f>
        <v>4.037305973769034E+21</v>
      </c>
      <c r="I958" s="4">
        <f>SimOpsY1*(1+SimOpsGrowth)^956</f>
        <v>2.692969906345337E+36</v>
      </c>
      <c r="J958" s="4">
        <f>TrainDevY1*(1+TrainDevGrowth)^956</f>
        <v>1.3464849531726685E+36</v>
      </c>
      <c r="K958" s="4">
        <f>AdminY1*(1+AdminGrowth)^956</f>
        <v>3.1148503682901244E+28</v>
      </c>
      <c r="L958" s="4">
        <f t="shared" si="58"/>
        <v>4.0394548906665135E+36</v>
      </c>
      <c r="M958" s="4">
        <f t="shared" si="59"/>
        <v>2.7955564634668615E+44</v>
      </c>
    </row>
    <row r="959" spans="1:13" x14ac:dyDescent="0.2">
      <c r="A959" s="3">
        <f>StartYear+957</f>
        <v>2982</v>
      </c>
      <c r="B959" s="4">
        <f>FacultyFTE*HoursPerWeek*WeeksPerYear*RatePerHour*(1+PracticeGrowth)^957</f>
        <v>5.4645159469577172E+25</v>
      </c>
      <c r="C959" s="4">
        <f>StudentsY1*(1+StudentGrowth)^957*CreditsPerStudent*TuitionPerCredit</f>
        <v>3.4153224668485736E+26</v>
      </c>
      <c r="D959" s="4">
        <f>SimRevY1*(1+SimGrowth)^957</f>
        <v>2.0500747694983672E+44</v>
      </c>
      <c r="E959" s="4">
        <f>FacDevRevY1*(1+FacDevGrowth)^957</f>
        <v>1.0250373847491836E+44</v>
      </c>
      <c r="F959" s="4">
        <f t="shared" si="56"/>
        <v>3.075112154247551E+44</v>
      </c>
      <c r="G959" s="4">
        <f t="shared" si="57"/>
        <v>3.075112154247551E+44</v>
      </c>
      <c r="H959" s="4">
        <f>SalaryFTECount*SalaryPerFTE*(1+SalaryGrowth)^957</f>
        <v>4.1987982127197952E+21</v>
      </c>
      <c r="I959" s="4">
        <f>SimOpsY1*(1+SimOpsGrowth)^957</f>
        <v>2.9084074988529637E+36</v>
      </c>
      <c r="J959" s="4">
        <f>TrainDevY1*(1+TrainDevGrowth)^957</f>
        <v>1.4542037494264819E+36</v>
      </c>
      <c r="K959" s="4">
        <f>AdminY1*(1+AdminGrowth)^957</f>
        <v>3.3017413903875317E+28</v>
      </c>
      <c r="L959" s="4">
        <f t="shared" si="58"/>
        <v>4.3626112812968637E+36</v>
      </c>
      <c r="M959" s="4">
        <f t="shared" si="59"/>
        <v>3.075112110621438E+44</v>
      </c>
    </row>
    <row r="960" spans="1:13" x14ac:dyDescent="0.2">
      <c r="A960" s="3">
        <f>StartYear+958</f>
        <v>2983</v>
      </c>
      <c r="B960" s="4">
        <f>FacultyFTE*HoursPerWeek*WeeksPerYear*RatePerHour*(1+PracticeGrowth)^958</f>
        <v>5.7377417443056021E+25</v>
      </c>
      <c r="C960" s="4">
        <f>StudentsY1*(1+StudentGrowth)^958*CreditsPerStudent*TuitionPerCredit</f>
        <v>3.5860885901910016E+26</v>
      </c>
      <c r="D960" s="4">
        <f>SimRevY1*(1+SimGrowth)^958</f>
        <v>2.2550822464482049E+44</v>
      </c>
      <c r="E960" s="4">
        <f>FacDevRevY1*(1+FacDevGrowth)^958</f>
        <v>1.1275411232241024E+44</v>
      </c>
      <c r="F960" s="4">
        <f t="shared" si="56"/>
        <v>3.3826233696723073E+44</v>
      </c>
      <c r="G960" s="4">
        <f t="shared" si="57"/>
        <v>3.3826233696723073E+44</v>
      </c>
      <c r="H960" s="4">
        <f>SalaryFTECount*SalaryPerFTE*(1+SalaryGrowth)^958</f>
        <v>4.3667501412285861E+21</v>
      </c>
      <c r="I960" s="4">
        <f>SimOpsY1*(1+SimOpsGrowth)^958</f>
        <v>3.1410800987612012E+36</v>
      </c>
      <c r="J960" s="4">
        <f>TrainDevY1*(1+TrainDevGrowth)^958</f>
        <v>1.5705400493806006E+36</v>
      </c>
      <c r="K960" s="4">
        <f>AdminY1*(1+AdminGrowth)^958</f>
        <v>3.499845873810784E+28</v>
      </c>
      <c r="L960" s="4">
        <f t="shared" si="58"/>
        <v>4.7116201831402644E+36</v>
      </c>
      <c r="M960" s="4">
        <f t="shared" si="59"/>
        <v>3.3826233225561054E+44</v>
      </c>
    </row>
    <row r="961" spans="1:13" x14ac:dyDescent="0.2">
      <c r="A961" s="3">
        <f>StartYear+959</f>
        <v>2984</v>
      </c>
      <c r="B961" s="4">
        <f>FacultyFTE*HoursPerWeek*WeeksPerYear*RatePerHour*(1+PracticeGrowth)^959</f>
        <v>6.0246288315208835E+25</v>
      </c>
      <c r="C961" s="4">
        <f>StudentsY1*(1+StudentGrowth)^959*CreditsPerStudent*TuitionPerCredit</f>
        <v>3.7653930197005521E+26</v>
      </c>
      <c r="D961" s="4">
        <f>SimRevY1*(1+SimGrowth)^959</f>
        <v>2.4805904710930248E+44</v>
      </c>
      <c r="E961" s="4">
        <f>FacDevRevY1*(1+FacDevGrowth)^959</f>
        <v>1.2402952355465124E+44</v>
      </c>
      <c r="F961" s="4">
        <f t="shared" si="56"/>
        <v>3.7208857066395371E+44</v>
      </c>
      <c r="G961" s="4">
        <f t="shared" si="57"/>
        <v>3.7208857066395371E+44</v>
      </c>
      <c r="H961" s="4">
        <f>SalaryFTECount*SalaryPerFTE*(1+SalaryGrowth)^959</f>
        <v>4.5414201468777299E+21</v>
      </c>
      <c r="I961" s="4">
        <f>SimOpsY1*(1+SimOpsGrowth)^959</f>
        <v>3.3923665066620981E+36</v>
      </c>
      <c r="J961" s="4">
        <f>TrainDevY1*(1+TrainDevGrowth)^959</f>
        <v>1.696183253331049E+36</v>
      </c>
      <c r="K961" s="4">
        <f>AdminY1*(1+AdminGrowth)^959</f>
        <v>3.7098366262394324E+28</v>
      </c>
      <c r="L961" s="4">
        <f t="shared" si="58"/>
        <v>5.088549797091518E+36</v>
      </c>
      <c r="M961" s="4">
        <f t="shared" si="59"/>
        <v>3.7208856557540391E+44</v>
      </c>
    </row>
    <row r="962" spans="1:13" x14ac:dyDescent="0.2">
      <c r="A962" s="3">
        <f>StartYear+960</f>
        <v>2985</v>
      </c>
      <c r="B962" s="4">
        <f>FacultyFTE*HoursPerWeek*WeeksPerYear*RatePerHour*(1+PracticeGrowth)^960</f>
        <v>6.3258602730969278E+25</v>
      </c>
      <c r="C962" s="4">
        <f>StudentsY1*(1+StudentGrowth)^960*CreditsPerStudent*TuitionPerCredit</f>
        <v>3.9536626706855794E+26</v>
      </c>
      <c r="D962" s="4">
        <f>SimRevY1*(1+SimGrowth)^960</f>
        <v>2.7286495182023273E+44</v>
      </c>
      <c r="E962" s="4">
        <f>FacDevRevY1*(1+FacDevGrowth)^960</f>
        <v>1.3643247591011636E+44</v>
      </c>
      <c r="F962" s="4">
        <f t="shared" ref="F962:F1025" si="60">C962+D962+E962</f>
        <v>4.0929742773034913E+44</v>
      </c>
      <c r="G962" s="4">
        <f t="shared" ref="G962:G1025" si="61">B962+F962</f>
        <v>4.0929742773034913E+44</v>
      </c>
      <c r="H962" s="4">
        <f>SalaryFTECount*SalaryPerFTE*(1+SalaryGrowth)^960</f>
        <v>4.7230769527528389E+21</v>
      </c>
      <c r="I962" s="4">
        <f>SimOpsY1*(1+SimOpsGrowth)^960</f>
        <v>3.6637558271950662E+36</v>
      </c>
      <c r="J962" s="4">
        <f>TrainDevY1*(1+TrainDevGrowth)^960</f>
        <v>1.8318779135975331E+36</v>
      </c>
      <c r="K962" s="4">
        <f>AdminY1*(1+AdminGrowth)^960</f>
        <v>3.9324268238137962E+28</v>
      </c>
      <c r="L962" s="4">
        <f t="shared" ref="L962:L1025" si="62">SUM(H962:K962)</f>
        <v>5.4956337801168724E+36</v>
      </c>
      <c r="M962" s="4">
        <f t="shared" ref="M962:M1025" si="63">G962-L962</f>
        <v>4.0929742223471537E+44</v>
      </c>
    </row>
    <row r="963" spans="1:13" x14ac:dyDescent="0.2">
      <c r="A963" s="3">
        <f>StartYear+961</f>
        <v>2986</v>
      </c>
      <c r="B963" s="4">
        <f>FacultyFTE*HoursPerWeek*WeeksPerYear*RatePerHour*(1+PracticeGrowth)^961</f>
        <v>6.6421532867517756E+25</v>
      </c>
      <c r="C963" s="4">
        <f>StudentsY1*(1+StudentGrowth)^961*CreditsPerStudent*TuitionPerCredit</f>
        <v>4.1513458042198596E+26</v>
      </c>
      <c r="D963" s="4">
        <f>SimRevY1*(1+SimGrowth)^961</f>
        <v>3.0015144700225608E+44</v>
      </c>
      <c r="E963" s="4">
        <f>FacDevRevY1*(1+FacDevGrowth)^961</f>
        <v>1.5007572350112804E+44</v>
      </c>
      <c r="F963" s="4">
        <f t="shared" si="60"/>
        <v>4.5022717050338414E+44</v>
      </c>
      <c r="G963" s="4">
        <f t="shared" si="61"/>
        <v>4.5022717050338414E+44</v>
      </c>
      <c r="H963" s="4">
        <f>SalaryFTECount*SalaryPerFTE*(1+SalaryGrowth)^961</f>
        <v>4.9120000308629534E+21</v>
      </c>
      <c r="I963" s="4">
        <f>SimOpsY1*(1+SimOpsGrowth)^961</f>
        <v>3.9568562933706723E+36</v>
      </c>
      <c r="J963" s="4">
        <f>TrainDevY1*(1+TrainDevGrowth)^961</f>
        <v>1.9784281466853361E+36</v>
      </c>
      <c r="K963" s="4">
        <f>AdminY1*(1+AdminGrowth)^961</f>
        <v>4.1683724332426245E+28</v>
      </c>
      <c r="L963" s="4">
        <f t="shared" si="62"/>
        <v>5.935284481739737E+36</v>
      </c>
      <c r="M963" s="4">
        <f t="shared" si="63"/>
        <v>4.5022716456809968E+44</v>
      </c>
    </row>
    <row r="964" spans="1:13" x14ac:dyDescent="0.2">
      <c r="A964" s="3">
        <f>StartYear+962</f>
        <v>2987</v>
      </c>
      <c r="B964" s="4">
        <f>FacultyFTE*HoursPerWeek*WeeksPerYear*RatePerHour*(1+PracticeGrowth)^962</f>
        <v>6.9742609510893632E+25</v>
      </c>
      <c r="C964" s="4">
        <f>StudentsY1*(1+StudentGrowth)^962*CreditsPerStudent*TuitionPerCredit</f>
        <v>4.3589130944308525E+26</v>
      </c>
      <c r="D964" s="4">
        <f>SimRevY1*(1+SimGrowth)^962</f>
        <v>3.3016659170248172E+44</v>
      </c>
      <c r="E964" s="4">
        <f>FacDevRevY1*(1+FacDevGrowth)^962</f>
        <v>1.6508329585124086E+44</v>
      </c>
      <c r="F964" s="4">
        <f t="shared" si="60"/>
        <v>4.9524988755372255E+44</v>
      </c>
      <c r="G964" s="4">
        <f t="shared" si="61"/>
        <v>4.9524988755372255E+44</v>
      </c>
      <c r="H964" s="4">
        <f>SalaryFTECount*SalaryPerFTE*(1+SalaryGrowth)^962</f>
        <v>5.1084800320974713E+21</v>
      </c>
      <c r="I964" s="4">
        <f>SimOpsY1*(1+SimOpsGrowth)^962</f>
        <v>4.2734047968403255E+36</v>
      </c>
      <c r="J964" s="4">
        <f>TrainDevY1*(1+TrainDevGrowth)^962</f>
        <v>2.1367023984201628E+36</v>
      </c>
      <c r="K964" s="4">
        <f>AdminY1*(1+AdminGrowth)^962</f>
        <v>4.4184747792371827E+28</v>
      </c>
      <c r="L964" s="4">
        <f t="shared" si="62"/>
        <v>6.4101072394452415E+36</v>
      </c>
      <c r="M964" s="4">
        <f t="shared" si="63"/>
        <v>4.9524988114361531E+44</v>
      </c>
    </row>
    <row r="965" spans="1:13" x14ac:dyDescent="0.2">
      <c r="A965" s="3">
        <f>StartYear+963</f>
        <v>2988</v>
      </c>
      <c r="B965" s="4">
        <f>FacultyFTE*HoursPerWeek*WeeksPerYear*RatePerHour*(1+PracticeGrowth)^963</f>
        <v>7.3229739986438328E+25</v>
      </c>
      <c r="C965" s="4">
        <f>StudentsY1*(1+StudentGrowth)^963*CreditsPerStudent*TuitionPerCredit</f>
        <v>4.5768587491523952E+26</v>
      </c>
      <c r="D965" s="4">
        <f>SimRevY1*(1+SimGrowth)^963</f>
        <v>3.6318325087272994E+44</v>
      </c>
      <c r="E965" s="4">
        <f>FacDevRevY1*(1+FacDevGrowth)^963</f>
        <v>1.8159162543636497E+44</v>
      </c>
      <c r="F965" s="4">
        <f t="shared" si="60"/>
        <v>5.4477487630909494E+44</v>
      </c>
      <c r="G965" s="4">
        <f t="shared" si="61"/>
        <v>5.4477487630909494E+44</v>
      </c>
      <c r="H965" s="4">
        <f>SalaryFTECount*SalaryPerFTE*(1+SalaryGrowth)^963</f>
        <v>5.3128192333813698E+21</v>
      </c>
      <c r="I965" s="4">
        <f>SimOpsY1*(1+SimOpsGrowth)^963</f>
        <v>4.6152771805875521E+36</v>
      </c>
      <c r="J965" s="4">
        <f>TrainDevY1*(1+TrainDevGrowth)^963</f>
        <v>2.3076385902937761E+36</v>
      </c>
      <c r="K965" s="4">
        <f>AdminY1*(1+AdminGrowth)^963</f>
        <v>4.6835832659914141E+28</v>
      </c>
      <c r="L965" s="4">
        <f t="shared" si="62"/>
        <v>6.9229158177171651E+36</v>
      </c>
      <c r="M965" s="4">
        <f t="shared" si="63"/>
        <v>5.4477486938617914E+44</v>
      </c>
    </row>
    <row r="966" spans="1:13" x14ac:dyDescent="0.2">
      <c r="A966" s="3">
        <f>StartYear+964</f>
        <v>2989</v>
      </c>
      <c r="B966" s="4">
        <f>FacultyFTE*HoursPerWeek*WeeksPerYear*RatePerHour*(1+PracticeGrowth)^964</f>
        <v>7.6891226985760238E+25</v>
      </c>
      <c r="C966" s="4">
        <f>StudentsY1*(1+StudentGrowth)^964*CreditsPerStudent*TuitionPerCredit</f>
        <v>4.8057016866100149E+26</v>
      </c>
      <c r="D966" s="4">
        <f>SimRevY1*(1+SimGrowth)^964</f>
        <v>3.9950157596000297E+44</v>
      </c>
      <c r="E966" s="4">
        <f>FacDevRevY1*(1+FacDevGrowth)^964</f>
        <v>1.9975078798000148E+44</v>
      </c>
      <c r="F966" s="4">
        <f t="shared" si="60"/>
        <v>5.9925236394000445E+44</v>
      </c>
      <c r="G966" s="4">
        <f t="shared" si="61"/>
        <v>5.9925236394000445E+44</v>
      </c>
      <c r="H966" s="4">
        <f>SalaryFTECount*SalaryPerFTE*(1+SalaryGrowth)^964</f>
        <v>5.5253320027166254E+21</v>
      </c>
      <c r="I966" s="4">
        <f>SimOpsY1*(1+SimOpsGrowth)^964</f>
        <v>4.9844993550345558E+36</v>
      </c>
      <c r="J966" s="4">
        <f>TrainDevY1*(1+TrainDevGrowth)^964</f>
        <v>2.4922496775172779E+36</v>
      </c>
      <c r="K966" s="4">
        <f>AdminY1*(1+AdminGrowth)^964</f>
        <v>4.9645982619508986E+28</v>
      </c>
      <c r="L966" s="4">
        <f t="shared" si="62"/>
        <v>7.4767490821978217E+36</v>
      </c>
      <c r="M966" s="4">
        <f t="shared" si="63"/>
        <v>5.9925235646325535E+44</v>
      </c>
    </row>
    <row r="967" spans="1:13" x14ac:dyDescent="0.2">
      <c r="A967" s="3">
        <f>StartYear+965</f>
        <v>2990</v>
      </c>
      <c r="B967" s="4">
        <f>FacultyFTE*HoursPerWeek*WeeksPerYear*RatePerHour*(1+PracticeGrowth)^965</f>
        <v>8.0735788335048252E+25</v>
      </c>
      <c r="C967" s="4">
        <f>StudentsY1*(1+StudentGrowth)^965*CreditsPerStudent*TuitionPerCredit</f>
        <v>5.0459867709405152E+26</v>
      </c>
      <c r="D967" s="4">
        <f>SimRevY1*(1+SimGrowth)^965</f>
        <v>4.3945173355600327E+44</v>
      </c>
      <c r="E967" s="4">
        <f>FacDevRevY1*(1+FacDevGrowth)^965</f>
        <v>2.1972586677800163E+44</v>
      </c>
      <c r="F967" s="4">
        <f t="shared" si="60"/>
        <v>6.591776003340049E+44</v>
      </c>
      <c r="G967" s="4">
        <f t="shared" si="61"/>
        <v>6.591776003340049E+44</v>
      </c>
      <c r="H967" s="4">
        <f>SalaryFTECount*SalaryPerFTE*(1+SalaryGrowth)^965</f>
        <v>5.7463452828252903E+21</v>
      </c>
      <c r="I967" s="4">
        <f>SimOpsY1*(1+SimOpsGrowth)^965</f>
        <v>5.3832593034373199E+36</v>
      </c>
      <c r="J967" s="4">
        <f>TrainDevY1*(1+TrainDevGrowth)^965</f>
        <v>2.69162965171866E+36</v>
      </c>
      <c r="K967" s="4">
        <f>AdminY1*(1+AdminGrowth)^965</f>
        <v>5.2624741576679523E+28</v>
      </c>
      <c r="L967" s="4">
        <f t="shared" si="62"/>
        <v>8.0748890077807268E+36</v>
      </c>
      <c r="M967" s="4">
        <f t="shared" si="63"/>
        <v>6.5917759225911589E+44</v>
      </c>
    </row>
    <row r="968" spans="1:13" x14ac:dyDescent="0.2">
      <c r="A968" s="3">
        <f>StartYear+966</f>
        <v>2991</v>
      </c>
      <c r="B968" s="4">
        <f>FacultyFTE*HoursPerWeek*WeeksPerYear*RatePerHour*(1+PracticeGrowth)^966</f>
        <v>8.477257775180066E+25</v>
      </c>
      <c r="C968" s="4">
        <f>StudentsY1*(1+StudentGrowth)^966*CreditsPerStudent*TuitionPerCredit</f>
        <v>5.2982861094875411E+26</v>
      </c>
      <c r="D968" s="4">
        <f>SimRevY1*(1+SimGrowth)^966</f>
        <v>4.8339690691160362E+44</v>
      </c>
      <c r="E968" s="4">
        <f>FacDevRevY1*(1+FacDevGrowth)^966</f>
        <v>2.4169845345580181E+44</v>
      </c>
      <c r="F968" s="4">
        <f t="shared" si="60"/>
        <v>7.2509536036740547E+44</v>
      </c>
      <c r="G968" s="4">
        <f t="shared" si="61"/>
        <v>7.2509536036740547E+44</v>
      </c>
      <c r="H968" s="4">
        <f>SalaryFTECount*SalaryPerFTE*(1+SalaryGrowth)^966</f>
        <v>5.9761990941383024E+21</v>
      </c>
      <c r="I968" s="4">
        <f>SimOpsY1*(1+SimOpsGrowth)^966</f>
        <v>5.8139200477123072E+36</v>
      </c>
      <c r="J968" s="4">
        <f>TrainDevY1*(1+TrainDevGrowth)^966</f>
        <v>2.9069600238561536E+36</v>
      </c>
      <c r="K968" s="4">
        <f>AdminY1*(1+AdminGrowth)^966</f>
        <v>5.5782226071280314E+28</v>
      </c>
      <c r="L968" s="4">
        <f t="shared" si="62"/>
        <v>8.7208801273506923E+36</v>
      </c>
      <c r="M968" s="4">
        <f t="shared" si="63"/>
        <v>7.2509535164652537E+44</v>
      </c>
    </row>
    <row r="969" spans="1:13" x14ac:dyDescent="0.2">
      <c r="A969" s="3">
        <f>StartYear+967</f>
        <v>2992</v>
      </c>
      <c r="B969" s="4">
        <f>FacultyFTE*HoursPerWeek*WeeksPerYear*RatePerHour*(1+PracticeGrowth)^967</f>
        <v>8.9011206639390707E+25</v>
      </c>
      <c r="C969" s="4">
        <f>StudentsY1*(1+StudentGrowth)^967*CreditsPerStudent*TuitionPerCredit</f>
        <v>5.5632004149619184E+26</v>
      </c>
      <c r="D969" s="4">
        <f>SimRevY1*(1+SimGrowth)^967</f>
        <v>5.3173659760276409E+44</v>
      </c>
      <c r="E969" s="4">
        <f>FacDevRevY1*(1+FacDevGrowth)^967</f>
        <v>2.6586829880138204E+44</v>
      </c>
      <c r="F969" s="4">
        <f t="shared" si="60"/>
        <v>7.9760489640414605E+44</v>
      </c>
      <c r="G969" s="4">
        <f t="shared" si="61"/>
        <v>7.9760489640414605E+44</v>
      </c>
      <c r="H969" s="4">
        <f>SalaryFTECount*SalaryPerFTE*(1+SalaryGrowth)^967</f>
        <v>6.2152470579038336E+21</v>
      </c>
      <c r="I969" s="4">
        <f>SimOpsY1*(1+SimOpsGrowth)^967</f>
        <v>6.2790336515292924E+36</v>
      </c>
      <c r="J969" s="4">
        <f>TrainDevY1*(1+TrainDevGrowth)^967</f>
        <v>3.1395168257646462E+36</v>
      </c>
      <c r="K969" s="4">
        <f>AdminY1*(1+AdminGrowth)^967</f>
        <v>5.9129159635557145E+28</v>
      </c>
      <c r="L969" s="4">
        <f t="shared" si="62"/>
        <v>9.4185505364231037E+36</v>
      </c>
      <c r="M969" s="4">
        <f t="shared" si="63"/>
        <v>7.9760488698559558E+44</v>
      </c>
    </row>
    <row r="970" spans="1:13" x14ac:dyDescent="0.2">
      <c r="A970" s="3">
        <f>StartYear+968</f>
        <v>2993</v>
      </c>
      <c r="B970" s="4">
        <f>FacultyFTE*HoursPerWeek*WeeksPerYear*RatePerHour*(1+PracticeGrowth)^968</f>
        <v>9.3461766971360231E+25</v>
      </c>
      <c r="C970" s="4">
        <f>StudentsY1*(1+StudentGrowth)^968*CreditsPerStudent*TuitionPerCredit</f>
        <v>5.8413604357100153E+26</v>
      </c>
      <c r="D970" s="4">
        <f>SimRevY1*(1+SimGrowth)^968</f>
        <v>5.8491025736304051E+44</v>
      </c>
      <c r="E970" s="4">
        <f>FacDevRevY1*(1+FacDevGrowth)^968</f>
        <v>2.9245512868152026E+44</v>
      </c>
      <c r="F970" s="4">
        <f t="shared" si="60"/>
        <v>8.7736538604456085E+44</v>
      </c>
      <c r="G970" s="4">
        <f t="shared" si="61"/>
        <v>8.7736538604456085E+44</v>
      </c>
      <c r="H970" s="4">
        <f>SalaryFTECount*SalaryPerFTE*(1+SalaryGrowth)^968</f>
        <v>6.4638569402199882E+21</v>
      </c>
      <c r="I970" s="4">
        <f>SimOpsY1*(1+SimOpsGrowth)^968</f>
        <v>6.7813563436516358E+36</v>
      </c>
      <c r="J970" s="4">
        <f>TrainDevY1*(1+TrainDevGrowth)^968</f>
        <v>3.3906781718258179E+36</v>
      </c>
      <c r="K970" s="4">
        <f>AdminY1*(1+AdminGrowth)^968</f>
        <v>6.2676909213690558E+28</v>
      </c>
      <c r="L970" s="4">
        <f t="shared" si="62"/>
        <v>1.0172034578154369E+37</v>
      </c>
      <c r="M970" s="4">
        <f t="shared" si="63"/>
        <v>8.7736537587252631E+44</v>
      </c>
    </row>
    <row r="971" spans="1:13" x14ac:dyDescent="0.2">
      <c r="A971" s="3">
        <f>StartYear+969</f>
        <v>2994</v>
      </c>
      <c r="B971" s="4">
        <f>FacultyFTE*HoursPerWeek*WeeksPerYear*RatePerHour*(1+PracticeGrowth)^969</f>
        <v>9.8134855319928239E+25</v>
      </c>
      <c r="C971" s="4">
        <f>StudentsY1*(1+StudentGrowth)^969*CreditsPerStudent*TuitionPerCredit</f>
        <v>6.1334284574955147E+26</v>
      </c>
      <c r="D971" s="4">
        <f>SimRevY1*(1+SimGrowth)^969</f>
        <v>6.4340128309934456E+44</v>
      </c>
      <c r="E971" s="4">
        <f>FacDevRevY1*(1+FacDevGrowth)^969</f>
        <v>3.2170064154967228E+44</v>
      </c>
      <c r="F971" s="4">
        <f t="shared" si="60"/>
        <v>9.6510192464901681E+44</v>
      </c>
      <c r="G971" s="4">
        <f t="shared" si="61"/>
        <v>9.6510192464901681E+44</v>
      </c>
      <c r="H971" s="4">
        <f>SalaryFTECount*SalaryPerFTE*(1+SalaryGrowth)^969</f>
        <v>6.7224112178287891E+21</v>
      </c>
      <c r="I971" s="4">
        <f>SimOpsY1*(1+SimOpsGrowth)^969</f>
        <v>7.3238648511437687E+36</v>
      </c>
      <c r="J971" s="4">
        <f>TrainDevY1*(1+TrainDevGrowth)^969</f>
        <v>3.6619324255718843E+36</v>
      </c>
      <c r="K971" s="4">
        <f>AdminY1*(1+AdminGrowth)^969</f>
        <v>6.6437523766511992E+28</v>
      </c>
      <c r="L971" s="4">
        <f t="shared" si="62"/>
        <v>1.0985797343153184E+37</v>
      </c>
      <c r="M971" s="4">
        <f t="shared" si="63"/>
        <v>9.6510191366321951E+44</v>
      </c>
    </row>
    <row r="972" spans="1:13" x14ac:dyDescent="0.2">
      <c r="A972" s="3">
        <f>StartYear+970</f>
        <v>2995</v>
      </c>
      <c r="B972" s="4">
        <f>FacultyFTE*HoursPerWeek*WeeksPerYear*RatePerHour*(1+PracticeGrowth)^970</f>
        <v>1.0304159808592463E+26</v>
      </c>
      <c r="C972" s="4">
        <f>StudentsY1*(1+StudentGrowth)^970*CreditsPerStudent*TuitionPerCredit</f>
        <v>6.4400998803702898E+26</v>
      </c>
      <c r="D972" s="4">
        <f>SimRevY1*(1+SimGrowth)^970</f>
        <v>7.0774141140927901E+44</v>
      </c>
      <c r="E972" s="4">
        <f>FacDevRevY1*(1+FacDevGrowth)^970</f>
        <v>3.5387070570463951E+44</v>
      </c>
      <c r="F972" s="4">
        <f t="shared" si="60"/>
        <v>1.0616121171139184E+45</v>
      </c>
      <c r="G972" s="4">
        <f t="shared" si="61"/>
        <v>1.0616121171139184E+45</v>
      </c>
      <c r="H972" s="4">
        <f>SalaryFTECount*SalaryPerFTE*(1+SalaryGrowth)^970</f>
        <v>6.9913076665419416E+21</v>
      </c>
      <c r="I972" s="4">
        <f>SimOpsY1*(1+SimOpsGrowth)^970</f>
        <v>7.9097740392352705E+36</v>
      </c>
      <c r="J972" s="4">
        <f>TrainDevY1*(1+TrainDevGrowth)^970</f>
        <v>3.9548870196176352E+36</v>
      </c>
      <c r="K972" s="4">
        <f>AdminY1*(1+AdminGrowth)^970</f>
        <v>7.0423775192502716E+28</v>
      </c>
      <c r="L972" s="4">
        <f t="shared" si="62"/>
        <v>1.1864661129276688E+37</v>
      </c>
      <c r="M972" s="4">
        <f t="shared" si="63"/>
        <v>1.0616121052492572E+45</v>
      </c>
    </row>
    <row r="973" spans="1:13" x14ac:dyDescent="0.2">
      <c r="A973" s="3">
        <f>StartYear+971</f>
        <v>2996</v>
      </c>
      <c r="B973" s="4">
        <f>FacultyFTE*HoursPerWeek*WeeksPerYear*RatePerHour*(1+PracticeGrowth)^971</f>
        <v>1.0819367799022088E+26</v>
      </c>
      <c r="C973" s="4">
        <f>StudentsY1*(1+StudentGrowth)^971*CreditsPerStudent*TuitionPerCredit</f>
        <v>6.7621048743888058E+26</v>
      </c>
      <c r="D973" s="4">
        <f>SimRevY1*(1+SimGrowth)^971</f>
        <v>7.7851555255020703E+44</v>
      </c>
      <c r="E973" s="4">
        <f>FacDevRevY1*(1+FacDevGrowth)^971</f>
        <v>3.8925777627510351E+44</v>
      </c>
      <c r="F973" s="4">
        <f t="shared" si="60"/>
        <v>1.1677733288253105E+45</v>
      </c>
      <c r="G973" s="4">
        <f t="shared" si="61"/>
        <v>1.1677733288253105E+45</v>
      </c>
      <c r="H973" s="4">
        <f>SalaryFTECount*SalaryPerFTE*(1+SalaryGrowth)^971</f>
        <v>7.2709599732036178E+21</v>
      </c>
      <c r="I973" s="4">
        <f>SimOpsY1*(1+SimOpsGrowth)^971</f>
        <v>8.5425559623740918E+36</v>
      </c>
      <c r="J973" s="4">
        <f>TrainDevY1*(1+TrainDevGrowth)^971</f>
        <v>4.2712779811870459E+36</v>
      </c>
      <c r="K973" s="4">
        <f>AdminY1*(1+AdminGrowth)^971</f>
        <v>7.4649201704052884E+28</v>
      </c>
      <c r="L973" s="4">
        <f t="shared" si="62"/>
        <v>1.2813834018210347E+37</v>
      </c>
      <c r="M973" s="4">
        <f t="shared" si="63"/>
        <v>1.1677733160114765E+45</v>
      </c>
    </row>
    <row r="974" spans="1:13" x14ac:dyDescent="0.2">
      <c r="A974" s="3">
        <f>StartYear+972</f>
        <v>2997</v>
      </c>
      <c r="B974" s="4">
        <f>FacultyFTE*HoursPerWeek*WeeksPerYear*RatePerHour*(1+PracticeGrowth)^972</f>
        <v>1.1360336188973193E+26</v>
      </c>
      <c r="C974" s="4">
        <f>StudentsY1*(1+StudentGrowth)^972*CreditsPerStudent*TuitionPerCredit</f>
        <v>7.1002101181082454E+26</v>
      </c>
      <c r="D974" s="4">
        <f>SimRevY1*(1+SimGrowth)^972</f>
        <v>8.5636710780522773E+44</v>
      </c>
      <c r="E974" s="4">
        <f>FacDevRevY1*(1+FacDevGrowth)^972</f>
        <v>4.2818355390261386E+44</v>
      </c>
      <c r="F974" s="4">
        <f t="shared" si="60"/>
        <v>1.2845506617078416E+45</v>
      </c>
      <c r="G974" s="4">
        <f t="shared" si="61"/>
        <v>1.2845506617078416E+45</v>
      </c>
      <c r="H974" s="4">
        <f>SalaryFTECount*SalaryPerFTE*(1+SalaryGrowth)^972</f>
        <v>7.5617983721317629E+21</v>
      </c>
      <c r="I974" s="4">
        <f>SimOpsY1*(1+SimOpsGrowth)^972</f>
        <v>9.2259604393640194E+36</v>
      </c>
      <c r="J974" s="4">
        <f>TrainDevY1*(1+TrainDevGrowth)^972</f>
        <v>4.6129802196820097E+36</v>
      </c>
      <c r="K974" s="4">
        <f>AdminY1*(1+AdminGrowth)^972</f>
        <v>7.9128153806296069E+28</v>
      </c>
      <c r="L974" s="4">
        <f t="shared" si="62"/>
        <v>1.3838940738174191E+37</v>
      </c>
      <c r="M974" s="4">
        <f t="shared" si="63"/>
        <v>1.2845506478689008E+45</v>
      </c>
    </row>
    <row r="975" spans="1:13" x14ac:dyDescent="0.2">
      <c r="A975" s="3">
        <f>StartYear+973</f>
        <v>2998</v>
      </c>
      <c r="B975" s="4">
        <f>FacultyFTE*HoursPerWeek*WeeksPerYear*RatePerHour*(1+PracticeGrowth)^973</f>
        <v>1.1928352998421856E+26</v>
      </c>
      <c r="C975" s="4">
        <f>StudentsY1*(1+StudentGrowth)^973*CreditsPerStudent*TuitionPerCredit</f>
        <v>7.4552206240136598E+26</v>
      </c>
      <c r="D975" s="4">
        <f>SimRevY1*(1+SimGrowth)^973</f>
        <v>9.4200381858575044E+44</v>
      </c>
      <c r="E975" s="4">
        <f>FacDevRevY1*(1+FacDevGrowth)^973</f>
        <v>4.7100190929287522E+44</v>
      </c>
      <c r="F975" s="4">
        <f t="shared" si="60"/>
        <v>1.4130057278786256E+45</v>
      </c>
      <c r="G975" s="4">
        <f t="shared" si="61"/>
        <v>1.4130057278786256E+45</v>
      </c>
      <c r="H975" s="4">
        <f>SalaryFTECount*SalaryPerFTE*(1+SalaryGrowth)^973</f>
        <v>7.8642703070170343E+21</v>
      </c>
      <c r="I975" s="4">
        <f>SimOpsY1*(1+SimOpsGrowth)^973</f>
        <v>9.9640372745131364E+36</v>
      </c>
      <c r="J975" s="4">
        <f>TrainDevY1*(1+TrainDevGrowth)^973</f>
        <v>4.9820186372565682E+36</v>
      </c>
      <c r="K975" s="4">
        <f>AdminY1*(1+AdminGrowth)^973</f>
        <v>8.3875843034673831E+28</v>
      </c>
      <c r="L975" s="4">
        <f t="shared" si="62"/>
        <v>1.4946055995645557E+37</v>
      </c>
      <c r="M975" s="4">
        <f t="shared" si="63"/>
        <v>1.4130057129325696E+45</v>
      </c>
    </row>
    <row r="976" spans="1:13" x14ac:dyDescent="0.2">
      <c r="A976" s="3">
        <f>StartYear+974</f>
        <v>2999</v>
      </c>
      <c r="B976" s="4">
        <f>FacultyFTE*HoursPerWeek*WeeksPerYear*RatePerHour*(1+PracticeGrowth)^974</f>
        <v>1.2524770648342942E+26</v>
      </c>
      <c r="C976" s="4">
        <f>StudentsY1*(1+StudentGrowth)^974*CreditsPerStudent*TuitionPerCredit</f>
        <v>7.8279816552143394E+26</v>
      </c>
      <c r="D976" s="4">
        <f>SimRevY1*(1+SimGrowth)^974</f>
        <v>1.0362042004443257E+45</v>
      </c>
      <c r="E976" s="4">
        <f>FacDevRevY1*(1+FacDevGrowth)^974</f>
        <v>5.1810210022216283E+44</v>
      </c>
      <c r="F976" s="4">
        <f t="shared" si="60"/>
        <v>1.5543063006664885E+45</v>
      </c>
      <c r="G976" s="4">
        <f t="shared" si="61"/>
        <v>1.5543063006664885E+45</v>
      </c>
      <c r="H976" s="4">
        <f>SalaryFTECount*SalaryPerFTE*(1+SalaryGrowth)^974</f>
        <v>8.1788411192977171E+21</v>
      </c>
      <c r="I976" s="4">
        <f>SimOpsY1*(1+SimOpsGrowth)^974</f>
        <v>1.0761160256474193E+37</v>
      </c>
      <c r="J976" s="4">
        <f>TrainDevY1*(1+TrainDevGrowth)^974</f>
        <v>5.3805801282370964E+36</v>
      </c>
      <c r="K976" s="4">
        <f>AdminY1*(1+AdminGrowth)^974</f>
        <v>8.890839361675426E+28</v>
      </c>
      <c r="L976" s="4">
        <f t="shared" si="62"/>
        <v>1.6141740473619688E+37</v>
      </c>
      <c r="M976" s="4">
        <f t="shared" si="63"/>
        <v>1.554306284524748E+45</v>
      </c>
    </row>
    <row r="977" spans="1:13" x14ac:dyDescent="0.2">
      <c r="A977" s="3">
        <f>StartYear+975</f>
        <v>3000</v>
      </c>
      <c r="B977" s="4">
        <f>FacultyFTE*HoursPerWeek*WeeksPerYear*RatePerHour*(1+PracticeGrowth)^975</f>
        <v>1.3151009180760093E+26</v>
      </c>
      <c r="C977" s="4">
        <f>StudentsY1*(1+StudentGrowth)^975*CreditsPerStudent*TuitionPerCredit</f>
        <v>8.2193807379750581E+26</v>
      </c>
      <c r="D977" s="4">
        <f>SimRevY1*(1+SimGrowth)^975</f>
        <v>1.1398246204887583E+45</v>
      </c>
      <c r="E977" s="4">
        <f>FacDevRevY1*(1+FacDevGrowth)^975</f>
        <v>5.6991231024437916E+44</v>
      </c>
      <c r="F977" s="4">
        <f t="shared" si="60"/>
        <v>1.7097369307331376E+45</v>
      </c>
      <c r="G977" s="4">
        <f t="shared" si="61"/>
        <v>1.7097369307331376E+45</v>
      </c>
      <c r="H977" s="4">
        <f>SalaryFTECount*SalaryPerFTE*(1+SalaryGrowth)^975</f>
        <v>8.5059947640696236E+21</v>
      </c>
      <c r="I977" s="4">
        <f>SimOpsY1*(1+SimOpsGrowth)^975</f>
        <v>1.1622053076992128E+37</v>
      </c>
      <c r="J977" s="4">
        <f>TrainDevY1*(1+TrainDevGrowth)^975</f>
        <v>5.8110265384960639E+36</v>
      </c>
      <c r="K977" s="4">
        <f>AdminY1*(1+AdminGrowth)^975</f>
        <v>9.4242897233759566E+28</v>
      </c>
      <c r="L977" s="4">
        <f t="shared" si="62"/>
        <v>1.74330797097311E+37</v>
      </c>
      <c r="M977" s="4">
        <f t="shared" si="63"/>
        <v>1.7097369133000579E+45</v>
      </c>
    </row>
    <row r="978" spans="1:13" x14ac:dyDescent="0.2">
      <c r="A978" s="3">
        <f>StartYear+976</f>
        <v>3001</v>
      </c>
      <c r="B978" s="4">
        <f>FacultyFTE*HoursPerWeek*WeeksPerYear*RatePerHour*(1+PracticeGrowth)^976</f>
        <v>1.3808559639798101E+26</v>
      </c>
      <c r="C978" s="4">
        <f>StudentsY1*(1+StudentGrowth)^976*CreditsPerStudent*TuitionPerCredit</f>
        <v>8.6303497748738123E+26</v>
      </c>
      <c r="D978" s="4">
        <f>SimRevY1*(1+SimGrowth)^976</f>
        <v>1.2538070825376342E+45</v>
      </c>
      <c r="E978" s="4">
        <f>FacDevRevY1*(1+FacDevGrowth)^976</f>
        <v>6.2690354126881711E+44</v>
      </c>
      <c r="F978" s="4">
        <f t="shared" si="60"/>
        <v>1.8807106238064513E+45</v>
      </c>
      <c r="G978" s="4">
        <f t="shared" si="61"/>
        <v>1.8807106238064513E+45</v>
      </c>
      <c r="H978" s="4">
        <f>SalaryFTECount*SalaryPerFTE*(1+SalaryGrowth)^976</f>
        <v>8.846234554632411E+21</v>
      </c>
      <c r="I978" s="4">
        <f>SimOpsY1*(1+SimOpsGrowth)^976</f>
        <v>1.2551817323151498E+37</v>
      </c>
      <c r="J978" s="4">
        <f>TrainDevY1*(1+TrainDevGrowth)^976</f>
        <v>6.275908661575749E+36</v>
      </c>
      <c r="K978" s="4">
        <f>AdminY1*(1+AdminGrowth)^976</f>
        <v>9.9897471067785108E+28</v>
      </c>
      <c r="L978" s="4">
        <f t="shared" si="62"/>
        <v>1.8827726084624728E+37</v>
      </c>
      <c r="M978" s="4">
        <f t="shared" si="63"/>
        <v>1.8807106049787253E+45</v>
      </c>
    </row>
    <row r="979" spans="1:13" x14ac:dyDescent="0.2">
      <c r="A979" s="3">
        <f>StartYear+977</f>
        <v>3002</v>
      </c>
      <c r="B979" s="4">
        <f>FacultyFTE*HoursPerWeek*WeeksPerYear*RatePerHour*(1+PracticeGrowth)^977</f>
        <v>1.4498987621788006E+26</v>
      </c>
      <c r="C979" s="4">
        <f>StudentsY1*(1+StudentGrowth)^977*CreditsPerStudent*TuitionPerCredit</f>
        <v>9.0618672636175047E+26</v>
      </c>
      <c r="D979" s="4">
        <f>SimRevY1*(1+SimGrowth)^977</f>
        <v>1.3791877907913976E+45</v>
      </c>
      <c r="E979" s="4">
        <f>FacDevRevY1*(1+FacDevGrowth)^977</f>
        <v>6.8959389539569881E+44</v>
      </c>
      <c r="F979" s="4">
        <f t="shared" si="60"/>
        <v>2.0687816861870963E+45</v>
      </c>
      <c r="G979" s="4">
        <f t="shared" si="61"/>
        <v>2.0687816861870963E+45</v>
      </c>
      <c r="H979" s="4">
        <f>SalaryFTECount*SalaryPerFTE*(1+SalaryGrowth)^977</f>
        <v>9.2000839368177059E+21</v>
      </c>
      <c r="I979" s="4">
        <f>SimOpsY1*(1+SimOpsGrowth)^977</f>
        <v>1.3555962709003618E+37</v>
      </c>
      <c r="J979" s="4">
        <f>TrainDevY1*(1+TrainDevGrowth)^977</f>
        <v>6.7779813545018091E+36</v>
      </c>
      <c r="K979" s="4">
        <f>AdminY1*(1+AdminGrowth)^977</f>
        <v>1.0589131933185224E+29</v>
      </c>
      <c r="L979" s="4">
        <f t="shared" si="62"/>
        <v>2.0333944169396756E+37</v>
      </c>
      <c r="M979" s="4">
        <f t="shared" si="63"/>
        <v>2.0687816658531523E+45</v>
      </c>
    </row>
    <row r="980" spans="1:13" x14ac:dyDescent="0.2">
      <c r="A980" s="3">
        <f>StartYear+978</f>
        <v>3003</v>
      </c>
      <c r="B980" s="4">
        <f>FacultyFTE*HoursPerWeek*WeeksPerYear*RatePerHour*(1+PracticeGrowth)^978</f>
        <v>1.5223937002877404E+26</v>
      </c>
      <c r="C980" s="4">
        <f>StudentsY1*(1+StudentGrowth)^978*CreditsPerStudent*TuitionPerCredit</f>
        <v>9.5149606267983778E+26</v>
      </c>
      <c r="D980" s="4">
        <f>SimRevY1*(1+SimGrowth)^978</f>
        <v>1.5171065698705373E+45</v>
      </c>
      <c r="E980" s="4">
        <f>FacDevRevY1*(1+FacDevGrowth)^978</f>
        <v>7.5855328493526865E+44</v>
      </c>
      <c r="F980" s="4">
        <f t="shared" si="60"/>
        <v>2.2756598548058061E+45</v>
      </c>
      <c r="G980" s="4">
        <f t="shared" si="61"/>
        <v>2.2756598548058061E+45</v>
      </c>
      <c r="H980" s="4">
        <f>SalaryFTECount*SalaryPerFTE*(1+SalaryGrowth)^978</f>
        <v>9.5680872942904153E+21</v>
      </c>
      <c r="I980" s="4">
        <f>SimOpsY1*(1+SimOpsGrowth)^978</f>
        <v>1.4640439725723908E+37</v>
      </c>
      <c r="J980" s="4">
        <f>TrainDevY1*(1+TrainDevGrowth)^978</f>
        <v>7.3202198628619538E+36</v>
      </c>
      <c r="K980" s="4">
        <f>AdminY1*(1+AdminGrowth)^978</f>
        <v>1.1224479849176335E+29</v>
      </c>
      <c r="L980" s="4">
        <f t="shared" si="62"/>
        <v>2.196065970083067E+37</v>
      </c>
      <c r="M980" s="4">
        <f t="shared" si="63"/>
        <v>2.2756598328451463E+45</v>
      </c>
    </row>
    <row r="981" spans="1:13" x14ac:dyDescent="0.2">
      <c r="A981" s="3">
        <f>StartYear+979</f>
        <v>3004</v>
      </c>
      <c r="B981" s="4">
        <f>FacultyFTE*HoursPerWeek*WeeksPerYear*RatePerHour*(1+PracticeGrowth)^979</f>
        <v>1.5985133853021276E+26</v>
      </c>
      <c r="C981" s="4">
        <f>StudentsY1*(1+StudentGrowth)^979*CreditsPerStudent*TuitionPerCredit</f>
        <v>9.990708658138297E+26</v>
      </c>
      <c r="D981" s="4">
        <f>SimRevY1*(1+SimGrowth)^979</f>
        <v>1.6688172268575921E+45</v>
      </c>
      <c r="E981" s="4">
        <f>FacDevRevY1*(1+FacDevGrowth)^979</f>
        <v>8.3440861342879607E+44</v>
      </c>
      <c r="F981" s="4">
        <f t="shared" si="60"/>
        <v>2.5032258402863881E+45</v>
      </c>
      <c r="G981" s="4">
        <f t="shared" si="61"/>
        <v>2.5032258402863881E+45</v>
      </c>
      <c r="H981" s="4">
        <f>SalaryFTECount*SalaryPerFTE*(1+SalaryGrowth)^979</f>
        <v>9.9508107860620324E+21</v>
      </c>
      <c r="I981" s="4">
        <f>SimOpsY1*(1+SimOpsGrowth)^979</f>
        <v>1.5811674903781826E+37</v>
      </c>
      <c r="J981" s="4">
        <f>TrainDevY1*(1+TrainDevGrowth)^979</f>
        <v>7.9058374518909131E+36</v>
      </c>
      <c r="K981" s="4">
        <f>AdminY1*(1+AdminGrowth)^979</f>
        <v>1.1897948640126918E+29</v>
      </c>
      <c r="L981" s="4">
        <f t="shared" si="62"/>
        <v>2.3717512474652234E+37</v>
      </c>
      <c r="M981" s="4">
        <f t="shared" si="63"/>
        <v>2.5032258165688757E+45</v>
      </c>
    </row>
    <row r="982" spans="1:13" x14ac:dyDescent="0.2">
      <c r="A982" s="3">
        <f>StartYear+980</f>
        <v>3005</v>
      </c>
      <c r="B982" s="4">
        <f>FacultyFTE*HoursPerWeek*WeeksPerYear*RatePerHour*(1+PracticeGrowth)^980</f>
        <v>1.6784390545672337E+26</v>
      </c>
      <c r="C982" s="4">
        <f>StudentsY1*(1+StudentGrowth)^980*CreditsPerStudent*TuitionPerCredit</f>
        <v>1.049024409104521E+27</v>
      </c>
      <c r="D982" s="4">
        <f>SimRevY1*(1+SimGrowth)^980</f>
        <v>1.8356989495433502E+45</v>
      </c>
      <c r="E982" s="4">
        <f>FacDevRevY1*(1+FacDevGrowth)^980</f>
        <v>9.1784947477167512E+44</v>
      </c>
      <c r="F982" s="4">
        <f t="shared" si="60"/>
        <v>2.7535484243150252E+45</v>
      </c>
      <c r="G982" s="4">
        <f t="shared" si="61"/>
        <v>2.7535484243150252E+45</v>
      </c>
      <c r="H982" s="4">
        <f>SalaryFTECount*SalaryPerFTE*(1+SalaryGrowth)^980</f>
        <v>1.0348843217504516E+22</v>
      </c>
      <c r="I982" s="4">
        <f>SimOpsY1*(1+SimOpsGrowth)^980</f>
        <v>1.707660889608437E+37</v>
      </c>
      <c r="J982" s="4">
        <f>TrainDevY1*(1+TrainDevGrowth)^980</f>
        <v>8.5383044480421849E+36</v>
      </c>
      <c r="K982" s="4">
        <f>AdminY1*(1+AdminGrowth)^980</f>
        <v>1.261182555853453E+29</v>
      </c>
      <c r="L982" s="4">
        <f t="shared" si="62"/>
        <v>2.561491347024482E+37</v>
      </c>
      <c r="M982" s="4">
        <f t="shared" si="63"/>
        <v>2.7535483987001118E+45</v>
      </c>
    </row>
    <row r="983" spans="1:13" x14ac:dyDescent="0.2">
      <c r="A983" s="3">
        <f>StartYear+981</f>
        <v>3006</v>
      </c>
      <c r="B983" s="4">
        <f>FacultyFTE*HoursPerWeek*WeeksPerYear*RatePerHour*(1+PracticeGrowth)^981</f>
        <v>1.7623610072955958E+26</v>
      </c>
      <c r="C983" s="4">
        <f>StudentsY1*(1+StudentGrowth)^981*CreditsPerStudent*TuitionPerCredit</f>
        <v>1.1014756295597474E+27</v>
      </c>
      <c r="D983" s="4">
        <f>SimRevY1*(1+SimGrowth)^981</f>
        <v>2.0192688444976862E+45</v>
      </c>
      <c r="E983" s="4">
        <f>FacDevRevY1*(1+FacDevGrowth)^981</f>
        <v>1.0096344222488431E+45</v>
      </c>
      <c r="F983" s="4">
        <f t="shared" si="60"/>
        <v>3.0289032667465294E+45</v>
      </c>
      <c r="G983" s="4">
        <f t="shared" si="61"/>
        <v>3.0289032667465294E+45</v>
      </c>
      <c r="H983" s="4">
        <f>SalaryFTECount*SalaryPerFTE*(1+SalaryGrowth)^981</f>
        <v>1.0762796946204698E+22</v>
      </c>
      <c r="I983" s="4">
        <f>SimOpsY1*(1+SimOpsGrowth)^981</f>
        <v>1.8442737607771122E+37</v>
      </c>
      <c r="J983" s="4">
        <f>TrainDevY1*(1+TrainDevGrowth)^981</f>
        <v>9.221368803885561E+36</v>
      </c>
      <c r="K983" s="4">
        <f>AdminY1*(1+AdminGrowth)^981</f>
        <v>1.3368535092046603E+29</v>
      </c>
      <c r="L983" s="4">
        <f t="shared" si="62"/>
        <v>2.7664106545342044E+37</v>
      </c>
      <c r="M983" s="4">
        <f t="shared" si="63"/>
        <v>3.0289032390824231E+45</v>
      </c>
    </row>
    <row r="984" spans="1:13" x14ac:dyDescent="0.2">
      <c r="A984" s="3">
        <f>StartYear+982</f>
        <v>3007</v>
      </c>
      <c r="B984" s="4">
        <f>FacultyFTE*HoursPerWeek*WeeksPerYear*RatePerHour*(1+PracticeGrowth)^982</f>
        <v>1.8504790576603748E+26</v>
      </c>
      <c r="C984" s="4">
        <f>StudentsY1*(1+StudentGrowth)^982*CreditsPerStudent*TuitionPerCredit</f>
        <v>1.1565494110377342E+27</v>
      </c>
      <c r="D984" s="4">
        <f>SimRevY1*(1+SimGrowth)^982</f>
        <v>2.2211957289474553E+45</v>
      </c>
      <c r="E984" s="4">
        <f>FacDevRevY1*(1+FacDevGrowth)^982</f>
        <v>1.1105978644737276E+45</v>
      </c>
      <c r="F984" s="4">
        <f t="shared" si="60"/>
        <v>3.3317935934211828E+45</v>
      </c>
      <c r="G984" s="4">
        <f t="shared" si="61"/>
        <v>3.3317935934211828E+45</v>
      </c>
      <c r="H984" s="4">
        <f>SalaryFTECount*SalaryPerFTE*(1+SalaryGrowth)^982</f>
        <v>1.1193308824052886E+22</v>
      </c>
      <c r="I984" s="4">
        <f>SimOpsY1*(1+SimOpsGrowth)^982</f>
        <v>1.991815661639281E+37</v>
      </c>
      <c r="J984" s="4">
        <f>TrainDevY1*(1+TrainDevGrowth)^982</f>
        <v>9.9590783081964048E+36</v>
      </c>
      <c r="K984" s="4">
        <f>AdminY1*(1+AdminGrowth)^982</f>
        <v>1.4170647197569404E+29</v>
      </c>
      <c r="L984" s="4">
        <f t="shared" si="62"/>
        <v>2.9877235066295702E+37</v>
      </c>
      <c r="M984" s="4">
        <f t="shared" si="63"/>
        <v>3.331793563543948E+45</v>
      </c>
    </row>
    <row r="985" spans="1:13" x14ac:dyDescent="0.2">
      <c r="A985" s="3">
        <f>StartYear+983</f>
        <v>3008</v>
      </c>
      <c r="B985" s="4">
        <f>FacultyFTE*HoursPerWeek*WeeksPerYear*RatePerHour*(1+PracticeGrowth)^983</f>
        <v>1.9430030105433944E+26</v>
      </c>
      <c r="C985" s="4">
        <f>StudentsY1*(1+StudentGrowth)^983*CreditsPerStudent*TuitionPerCredit</f>
        <v>1.2143768815896215E+27</v>
      </c>
      <c r="D985" s="4">
        <f>SimRevY1*(1+SimGrowth)^983</f>
        <v>2.4433153018422005E+45</v>
      </c>
      <c r="E985" s="4">
        <f>FacDevRevY1*(1+FacDevGrowth)^983</f>
        <v>1.2216576509211003E+45</v>
      </c>
      <c r="F985" s="4">
        <f t="shared" si="60"/>
        <v>3.6649729527633008E+45</v>
      </c>
      <c r="G985" s="4">
        <f t="shared" si="61"/>
        <v>3.6649729527633008E+45</v>
      </c>
      <c r="H985" s="4">
        <f>SalaryFTECount*SalaryPerFTE*(1+SalaryGrowth)^983</f>
        <v>1.1641041177014998E+22</v>
      </c>
      <c r="I985" s="4">
        <f>SimOpsY1*(1+SimOpsGrowth)^983</f>
        <v>2.1511609145704235E+37</v>
      </c>
      <c r="J985" s="4">
        <f>TrainDevY1*(1+TrainDevGrowth)^983</f>
        <v>1.0755804572852117E+37</v>
      </c>
      <c r="K985" s="4">
        <f>AdminY1*(1+AdminGrowth)^983</f>
        <v>1.502088602942357E+29</v>
      </c>
      <c r="L985" s="4">
        <f t="shared" si="62"/>
        <v>3.2267413868765223E+37</v>
      </c>
      <c r="M985" s="4">
        <f t="shared" si="63"/>
        <v>3.6649729204958867E+45</v>
      </c>
    </row>
    <row r="986" spans="1:13" x14ac:dyDescent="0.2">
      <c r="A986" s="3">
        <f>StartYear+984</f>
        <v>3009</v>
      </c>
      <c r="B986" s="4">
        <f>FacultyFTE*HoursPerWeek*WeeksPerYear*RatePerHour*(1+PracticeGrowth)^984</f>
        <v>2.0401531610705636E+26</v>
      </c>
      <c r="C986" s="4">
        <f>StudentsY1*(1+StudentGrowth)^984*CreditsPerStudent*TuitionPerCredit</f>
        <v>1.2750957256691023E+27</v>
      </c>
      <c r="D986" s="4">
        <f>SimRevY1*(1+SimGrowth)^984</f>
        <v>2.6876468320264205E+45</v>
      </c>
      <c r="E986" s="4">
        <f>FacDevRevY1*(1+FacDevGrowth)^984</f>
        <v>1.3438234160132103E+45</v>
      </c>
      <c r="F986" s="4">
        <f t="shared" si="60"/>
        <v>4.0314702480396306E+45</v>
      </c>
      <c r="G986" s="4">
        <f t="shared" si="61"/>
        <v>4.0314702480396306E+45</v>
      </c>
      <c r="H986" s="4">
        <f>SalaryFTECount*SalaryPerFTE*(1+SalaryGrowth)^984</f>
        <v>1.21066828240956E+22</v>
      </c>
      <c r="I986" s="4">
        <f>SimOpsY1*(1+SimOpsGrowth)^984</f>
        <v>2.3232537877360577E+37</v>
      </c>
      <c r="J986" s="4">
        <f>TrainDevY1*(1+TrainDevGrowth)^984</f>
        <v>1.1616268938680288E+37</v>
      </c>
      <c r="K986" s="4">
        <f>AdminY1*(1+AdminGrowth)^984</f>
        <v>1.5922139191188978E+29</v>
      </c>
      <c r="L986" s="4">
        <f t="shared" si="62"/>
        <v>3.484880697526227E+37</v>
      </c>
      <c r="M986" s="4">
        <f t="shared" si="63"/>
        <v>4.0314702131908235E+45</v>
      </c>
    </row>
    <row r="987" spans="1:13" x14ac:dyDescent="0.2">
      <c r="A987" s="3">
        <f>StartYear+985</f>
        <v>3010</v>
      </c>
      <c r="B987" s="4">
        <f>FacultyFTE*HoursPerWeek*WeeksPerYear*RatePerHour*(1+PracticeGrowth)^985</f>
        <v>2.1421608191240921E+26</v>
      </c>
      <c r="C987" s="4">
        <f>StudentsY1*(1+StudentGrowth)^985*CreditsPerStudent*TuitionPerCredit</f>
        <v>1.3388505119525574E+27</v>
      </c>
      <c r="D987" s="4">
        <f>SimRevY1*(1+SimGrowth)^985</f>
        <v>2.9564115152290627E+45</v>
      </c>
      <c r="E987" s="4">
        <f>FacDevRevY1*(1+FacDevGrowth)^985</f>
        <v>1.4782057576145313E+45</v>
      </c>
      <c r="F987" s="4">
        <f t="shared" si="60"/>
        <v>4.4346172728435937E+45</v>
      </c>
      <c r="G987" s="4">
        <f t="shared" si="61"/>
        <v>4.4346172728435937E+45</v>
      </c>
      <c r="H987" s="4">
        <f>SalaryFTECount*SalaryPerFTE*(1+SalaryGrowth)^985</f>
        <v>1.2590950137059428E+22</v>
      </c>
      <c r="I987" s="4">
        <f>SimOpsY1*(1+SimOpsGrowth)^985</f>
        <v>2.5091140907549423E+37</v>
      </c>
      <c r="J987" s="4">
        <f>TrainDevY1*(1+TrainDevGrowth)^985</f>
        <v>1.2545570453774712E+37</v>
      </c>
      <c r="K987" s="4">
        <f>AdminY1*(1+AdminGrowth)^985</f>
        <v>1.6877467542660321E+29</v>
      </c>
      <c r="L987" s="4">
        <f t="shared" si="62"/>
        <v>3.7636711530098826E+37</v>
      </c>
      <c r="M987" s="4">
        <f t="shared" si="63"/>
        <v>4.4346172352068819E+45</v>
      </c>
    </row>
    <row r="988" spans="1:13" x14ac:dyDescent="0.2">
      <c r="A988" s="3">
        <f>StartYear+986</f>
        <v>3011</v>
      </c>
      <c r="B988" s="4">
        <f>FacultyFTE*HoursPerWeek*WeeksPerYear*RatePerHour*(1+PracticeGrowth)^986</f>
        <v>2.2492688600802964E+26</v>
      </c>
      <c r="C988" s="4">
        <f>StudentsY1*(1+StudentGrowth)^986*CreditsPerStudent*TuitionPerCredit</f>
        <v>1.4057930375501854E+27</v>
      </c>
      <c r="D988" s="4">
        <f>SimRevY1*(1+SimGrowth)^986</f>
        <v>3.25205266675197E+45</v>
      </c>
      <c r="E988" s="4">
        <f>FacDevRevY1*(1+FacDevGrowth)^986</f>
        <v>1.626026333375985E+45</v>
      </c>
      <c r="F988" s="4">
        <f t="shared" si="60"/>
        <v>4.8780790001279553E+45</v>
      </c>
      <c r="G988" s="4">
        <f t="shared" si="61"/>
        <v>4.8780790001279553E+45</v>
      </c>
      <c r="H988" s="4">
        <f>SalaryFTECount*SalaryPerFTE*(1+SalaryGrowth)^986</f>
        <v>1.3094588142541802E+22</v>
      </c>
      <c r="I988" s="4">
        <f>SimOpsY1*(1+SimOpsGrowth)^986</f>
        <v>2.7098432180153379E+37</v>
      </c>
      <c r="J988" s="4">
        <f>TrainDevY1*(1+TrainDevGrowth)^986</f>
        <v>1.3549216090076689E+37</v>
      </c>
      <c r="K988" s="4">
        <f>AdminY1*(1+AdminGrowth)^986</f>
        <v>1.7890115595219937E+29</v>
      </c>
      <c r="L988" s="4">
        <f t="shared" si="62"/>
        <v>4.0647648449131239E+37</v>
      </c>
      <c r="M988" s="4">
        <f t="shared" si="63"/>
        <v>4.8780789594803066E+45</v>
      </c>
    </row>
    <row r="989" spans="1:13" x14ac:dyDescent="0.2">
      <c r="A989" s="3">
        <f>StartYear+987</f>
        <v>3012</v>
      </c>
      <c r="B989" s="4">
        <f>FacultyFTE*HoursPerWeek*WeeksPerYear*RatePerHour*(1+PracticeGrowth)^987</f>
        <v>2.3617323030843122E+26</v>
      </c>
      <c r="C989" s="4">
        <f>StudentsY1*(1+StudentGrowth)^987*CreditsPerStudent*TuitionPerCredit</f>
        <v>1.4760826894276952E+27</v>
      </c>
      <c r="D989" s="4">
        <f>SimRevY1*(1+SimGrowth)^987</f>
        <v>3.5772579334271671E+45</v>
      </c>
      <c r="E989" s="4">
        <f>FacDevRevY1*(1+FacDevGrowth)^987</f>
        <v>1.7886289667135835E+45</v>
      </c>
      <c r="F989" s="4">
        <f t="shared" si="60"/>
        <v>5.3658869001407506E+45</v>
      </c>
      <c r="G989" s="4">
        <f t="shared" si="61"/>
        <v>5.3658869001407506E+45</v>
      </c>
      <c r="H989" s="4">
        <f>SalaryFTECount*SalaryPerFTE*(1+SalaryGrowth)^987</f>
        <v>1.3618371668243477E+22</v>
      </c>
      <c r="I989" s="4">
        <f>SimOpsY1*(1+SimOpsGrowth)^987</f>
        <v>2.9266306754565645E+37</v>
      </c>
      <c r="J989" s="4">
        <f>TrainDevY1*(1+TrainDevGrowth)^987</f>
        <v>1.4633153377282823E+37</v>
      </c>
      <c r="K989" s="4">
        <f>AdminY1*(1+AdminGrowth)^987</f>
        <v>1.896352253093314E+29</v>
      </c>
      <c r="L989" s="4">
        <f t="shared" si="62"/>
        <v>4.3899460321483698E+37</v>
      </c>
      <c r="M989" s="4">
        <f t="shared" si="63"/>
        <v>5.3658868562412903E+45</v>
      </c>
    </row>
    <row r="990" spans="1:13" x14ac:dyDescent="0.2">
      <c r="A990" s="3">
        <f>StartYear+988</f>
        <v>3013</v>
      </c>
      <c r="B990" s="4">
        <f>FacultyFTE*HoursPerWeek*WeeksPerYear*RatePerHour*(1+PracticeGrowth)^988</f>
        <v>2.4798189182385271E+26</v>
      </c>
      <c r="C990" s="4">
        <f>StudentsY1*(1+StudentGrowth)^988*CreditsPerStudent*TuitionPerCredit</f>
        <v>1.5498868238990798E+27</v>
      </c>
      <c r="D990" s="4">
        <f>SimRevY1*(1+SimGrowth)^988</f>
        <v>3.9349837267698836E+45</v>
      </c>
      <c r="E990" s="4">
        <f>FacDevRevY1*(1+FacDevGrowth)^988</f>
        <v>1.9674918633849418E+45</v>
      </c>
      <c r="F990" s="4">
        <f t="shared" si="60"/>
        <v>5.9024755901548261E+45</v>
      </c>
      <c r="G990" s="4">
        <f t="shared" si="61"/>
        <v>5.9024755901548261E+45</v>
      </c>
      <c r="H990" s="4">
        <f>SalaryFTECount*SalaryPerFTE*(1+SalaryGrowth)^988</f>
        <v>1.4163106534973218E+22</v>
      </c>
      <c r="I990" s="4">
        <f>SimOpsY1*(1+SimOpsGrowth)^988</f>
        <v>3.1607611294930904E+37</v>
      </c>
      <c r="J990" s="4">
        <f>TrainDevY1*(1+TrainDevGrowth)^988</f>
        <v>1.5803805647465452E+37</v>
      </c>
      <c r="K990" s="4">
        <f>AdminY1*(1+AdminGrowth)^988</f>
        <v>2.0101333882789133E+29</v>
      </c>
      <c r="L990" s="4">
        <f t="shared" si="62"/>
        <v>4.7411417143409706E+37</v>
      </c>
      <c r="M990" s="4">
        <f t="shared" si="63"/>
        <v>5.9024755427434095E+45</v>
      </c>
    </row>
    <row r="991" spans="1:13" x14ac:dyDescent="0.2">
      <c r="A991" s="3">
        <f>StartYear+989</f>
        <v>3014</v>
      </c>
      <c r="B991" s="4">
        <f>FacultyFTE*HoursPerWeek*WeeksPerYear*RatePerHour*(1+PracticeGrowth)^989</f>
        <v>2.603809864150454E+26</v>
      </c>
      <c r="C991" s="4">
        <f>StudentsY1*(1+StudentGrowth)^989*CreditsPerStudent*TuitionPerCredit</f>
        <v>1.6273811650940338E+27</v>
      </c>
      <c r="D991" s="4">
        <f>SimRevY1*(1+SimGrowth)^989</f>
        <v>4.3284820994468713E+45</v>
      </c>
      <c r="E991" s="4">
        <f>FacDevRevY1*(1+FacDevGrowth)^989</f>
        <v>2.1642410497234356E+45</v>
      </c>
      <c r="F991" s="4">
        <f t="shared" si="60"/>
        <v>6.4927231491703072E+45</v>
      </c>
      <c r="G991" s="4">
        <f t="shared" si="61"/>
        <v>6.4927231491703072E+45</v>
      </c>
      <c r="H991" s="4">
        <f>SalaryFTECount*SalaryPerFTE*(1+SalaryGrowth)^989</f>
        <v>1.4729630796372146E+22</v>
      </c>
      <c r="I991" s="4">
        <f>SimOpsY1*(1+SimOpsGrowth)^989</f>
        <v>3.4136220198525378E+37</v>
      </c>
      <c r="J991" s="4">
        <f>TrainDevY1*(1+TrainDevGrowth)^989</f>
        <v>1.7068110099262689E+37</v>
      </c>
      <c r="K991" s="4">
        <f>AdminY1*(1+AdminGrowth)^989</f>
        <v>2.1307413915756476E+29</v>
      </c>
      <c r="L991" s="4">
        <f t="shared" si="62"/>
        <v>5.120433051086222E+37</v>
      </c>
      <c r="M991" s="4">
        <f t="shared" si="63"/>
        <v>6.4927230979659761E+45</v>
      </c>
    </row>
    <row r="992" spans="1:13" x14ac:dyDescent="0.2">
      <c r="A992" s="3">
        <f>StartYear+990</f>
        <v>3015</v>
      </c>
      <c r="B992" s="4">
        <f>FacultyFTE*HoursPerWeek*WeeksPerYear*RatePerHour*(1+PracticeGrowth)^990</f>
        <v>2.7340003573579753E+26</v>
      </c>
      <c r="C992" s="4">
        <f>StudentsY1*(1+StudentGrowth)^990*CreditsPerStudent*TuitionPerCredit</f>
        <v>1.7087502233487344E+27</v>
      </c>
      <c r="D992" s="4">
        <f>SimRevY1*(1+SimGrowth)^990</f>
        <v>4.761330309391561E+45</v>
      </c>
      <c r="E992" s="4">
        <f>FacDevRevY1*(1+FacDevGrowth)^990</f>
        <v>2.3806651546957805E+45</v>
      </c>
      <c r="F992" s="4">
        <f t="shared" si="60"/>
        <v>7.1419954640873408E+45</v>
      </c>
      <c r="G992" s="4">
        <f t="shared" si="61"/>
        <v>7.1419954640873408E+45</v>
      </c>
      <c r="H992" s="4">
        <f>SalaryFTECount*SalaryPerFTE*(1+SalaryGrowth)^990</f>
        <v>1.5318816028227029E+22</v>
      </c>
      <c r="I992" s="4">
        <f>SimOpsY1*(1+SimOpsGrowth)^990</f>
        <v>3.686711781440741E+37</v>
      </c>
      <c r="J992" s="4">
        <f>TrainDevY1*(1+TrainDevGrowth)^990</f>
        <v>1.8433558907203705E+37</v>
      </c>
      <c r="K992" s="4">
        <f>AdminY1*(1+AdminGrowth)^990</f>
        <v>2.258585875070187E+29</v>
      </c>
      <c r="L992" s="4">
        <f t="shared" si="62"/>
        <v>5.5300676947469713E+37</v>
      </c>
      <c r="M992" s="4">
        <f t="shared" si="63"/>
        <v>7.141995408786664E+45</v>
      </c>
    </row>
    <row r="993" spans="1:13" x14ac:dyDescent="0.2">
      <c r="A993" s="3">
        <f>StartYear+991</f>
        <v>3016</v>
      </c>
      <c r="B993" s="4">
        <f>FacultyFTE*HoursPerWeek*WeeksPerYear*RatePerHour*(1+PracticeGrowth)^991</f>
        <v>2.870700375225876E+26</v>
      </c>
      <c r="C993" s="4">
        <f>StudentsY1*(1+StudentGrowth)^991*CreditsPerStudent*TuitionPerCredit</f>
        <v>1.7941877345161722E+27</v>
      </c>
      <c r="D993" s="4">
        <f>SimRevY1*(1+SimGrowth)^991</f>
        <v>5.2374633403307156E+45</v>
      </c>
      <c r="E993" s="4">
        <f>FacDevRevY1*(1+FacDevGrowth)^991</f>
        <v>2.6187316701653578E+45</v>
      </c>
      <c r="F993" s="4">
        <f t="shared" si="60"/>
        <v>7.8561950104960736E+45</v>
      </c>
      <c r="G993" s="4">
        <f t="shared" si="61"/>
        <v>7.8561950104960736E+45</v>
      </c>
      <c r="H993" s="4">
        <f>SalaryFTECount*SalaryPerFTE*(1+SalaryGrowth)^991</f>
        <v>1.5931568669356112E+22</v>
      </c>
      <c r="I993" s="4">
        <f>SimOpsY1*(1+SimOpsGrowth)^991</f>
        <v>3.9816487239560005E+37</v>
      </c>
      <c r="J993" s="4">
        <f>TrainDevY1*(1+TrainDevGrowth)^991</f>
        <v>1.9908243619780002E+37</v>
      </c>
      <c r="K993" s="4">
        <f>AdminY1*(1+AdminGrowth)^991</f>
        <v>2.3941010275743986E+29</v>
      </c>
      <c r="L993" s="4">
        <f t="shared" si="62"/>
        <v>5.9724731098750128E+37</v>
      </c>
      <c r="M993" s="4">
        <f t="shared" si="63"/>
        <v>7.8561949507713431E+45</v>
      </c>
    </row>
    <row r="994" spans="1:13" x14ac:dyDescent="0.2">
      <c r="A994" s="3">
        <f>StartYear+992</f>
        <v>3017</v>
      </c>
      <c r="B994" s="4">
        <f>FacultyFTE*HoursPerWeek*WeeksPerYear*RatePerHour*(1+PracticeGrowth)^992</f>
        <v>3.0142353939871689E+26</v>
      </c>
      <c r="C994" s="4">
        <f>StudentsY1*(1+StudentGrowth)^992*CreditsPerStudent*TuitionPerCredit</f>
        <v>1.8838971212419807E+27</v>
      </c>
      <c r="D994" s="4">
        <f>SimRevY1*(1+SimGrowth)^992</f>
        <v>5.7612096743637874E+45</v>
      </c>
      <c r="E994" s="4">
        <f>FacDevRevY1*(1+FacDevGrowth)^992</f>
        <v>2.8806048371818937E+45</v>
      </c>
      <c r="F994" s="4">
        <f t="shared" si="60"/>
        <v>8.6418145115456811E+45</v>
      </c>
      <c r="G994" s="4">
        <f t="shared" si="61"/>
        <v>8.6418145115456811E+45</v>
      </c>
      <c r="H994" s="4">
        <f>SalaryFTECount*SalaryPerFTE*(1+SalaryGrowth)^992</f>
        <v>1.656883141613036E+22</v>
      </c>
      <c r="I994" s="4">
        <f>SimOpsY1*(1+SimOpsGrowth)^992</f>
        <v>4.300180621872481E+37</v>
      </c>
      <c r="J994" s="4">
        <f>TrainDevY1*(1+TrainDevGrowth)^992</f>
        <v>2.1500903109362405E+37</v>
      </c>
      <c r="K994" s="4">
        <f>AdminY1*(1+AdminGrowth)^992</f>
        <v>2.5377470892288621E+29</v>
      </c>
      <c r="L994" s="4">
        <f t="shared" si="62"/>
        <v>6.4502709581861943E+37</v>
      </c>
      <c r="M994" s="4">
        <f t="shared" si="63"/>
        <v>8.6418144470429714E+45</v>
      </c>
    </row>
    <row r="995" spans="1:13" x14ac:dyDescent="0.2">
      <c r="A995" s="3">
        <f>StartYear+993</f>
        <v>3018</v>
      </c>
      <c r="B995" s="4">
        <f>FacultyFTE*HoursPerWeek*WeeksPerYear*RatePerHour*(1+PracticeGrowth)^993</f>
        <v>3.1649471636865279E+26</v>
      </c>
      <c r="C995" s="4">
        <f>StudentsY1*(1+StudentGrowth)^993*CreditsPerStudent*TuitionPerCredit</f>
        <v>1.9780919773040801E+27</v>
      </c>
      <c r="D995" s="4">
        <f>SimRevY1*(1+SimGrowth)^993</f>
        <v>6.3373306418001677E+45</v>
      </c>
      <c r="E995" s="4">
        <f>FacDevRevY1*(1+FacDevGrowth)^993</f>
        <v>3.1686653209000838E+45</v>
      </c>
      <c r="F995" s="4">
        <f t="shared" si="60"/>
        <v>9.5059959627002515E+45</v>
      </c>
      <c r="G995" s="4">
        <f t="shared" si="61"/>
        <v>9.5059959627002515E+45</v>
      </c>
      <c r="H995" s="4">
        <f>SalaryFTECount*SalaryPerFTE*(1+SalaryGrowth)^993</f>
        <v>1.7231584672775571E+22</v>
      </c>
      <c r="I995" s="4">
        <f>SimOpsY1*(1+SimOpsGrowth)^993</f>
        <v>4.6441950716222787E+37</v>
      </c>
      <c r="J995" s="4">
        <f>TrainDevY1*(1+TrainDevGrowth)^993</f>
        <v>2.3220975358111394E+37</v>
      </c>
      <c r="K995" s="4">
        <f>AdminY1*(1+AdminGrowth)^993</f>
        <v>2.6900119145825936E+29</v>
      </c>
      <c r="L995" s="4">
        <f t="shared" si="62"/>
        <v>6.9662926343335391E+37</v>
      </c>
      <c r="M995" s="4">
        <f t="shared" si="63"/>
        <v>9.5059958930373254E+45</v>
      </c>
    </row>
    <row r="996" spans="1:13" x14ac:dyDescent="0.2">
      <c r="A996" s="3">
        <f>StartYear+994</f>
        <v>3019</v>
      </c>
      <c r="B996" s="4">
        <f>FacultyFTE*HoursPerWeek*WeeksPerYear*RatePerHour*(1+PracticeGrowth)^994</f>
        <v>3.323194521870854E+26</v>
      </c>
      <c r="C996" s="4">
        <f>StudentsY1*(1+StudentGrowth)^994*CreditsPerStudent*TuitionPerCredit</f>
        <v>2.0769965761692835E+27</v>
      </c>
      <c r="D996" s="4">
        <f>SimRevY1*(1+SimGrowth)^994</f>
        <v>6.9710637059801837E+45</v>
      </c>
      <c r="E996" s="4">
        <f>FacDevRevY1*(1+FacDevGrowth)^994</f>
        <v>3.4855318529900918E+45</v>
      </c>
      <c r="F996" s="4">
        <f t="shared" si="60"/>
        <v>1.0456595558970276E+46</v>
      </c>
      <c r="G996" s="4">
        <f t="shared" si="61"/>
        <v>1.0456595558970276E+46</v>
      </c>
      <c r="H996" s="4">
        <f>SalaryFTECount*SalaryPerFTE*(1+SalaryGrowth)^994</f>
        <v>1.7920848059686598E+22</v>
      </c>
      <c r="I996" s="4">
        <f>SimOpsY1*(1+SimOpsGrowth)^994</f>
        <v>5.0157306773520615E+37</v>
      </c>
      <c r="J996" s="4">
        <f>TrainDevY1*(1+TrainDevGrowth)^994</f>
        <v>2.5078653386760307E+37</v>
      </c>
      <c r="K996" s="4">
        <f>AdminY1*(1+AdminGrowth)^994</f>
        <v>2.8514126294575491E+29</v>
      </c>
      <c r="L996" s="4">
        <f t="shared" si="62"/>
        <v>7.5235960445422208E+37</v>
      </c>
      <c r="M996" s="4">
        <f t="shared" si="63"/>
        <v>1.0456595483734316E+46</v>
      </c>
    </row>
    <row r="997" spans="1:13" x14ac:dyDescent="0.2">
      <c r="A997" s="3">
        <f>StartYear+995</f>
        <v>3020</v>
      </c>
      <c r="B997" s="4">
        <f>FacultyFTE*HoursPerWeek*WeeksPerYear*RatePerHour*(1+PracticeGrowth)^995</f>
        <v>3.4893542479643975E+26</v>
      </c>
      <c r="C997" s="4">
        <f>StudentsY1*(1+StudentGrowth)^995*CreditsPerStudent*TuitionPerCredit</f>
        <v>2.1808464049777482E+27</v>
      </c>
      <c r="D997" s="4">
        <f>SimRevY1*(1+SimGrowth)^995</f>
        <v>7.6681700765782047E+45</v>
      </c>
      <c r="E997" s="4">
        <f>FacDevRevY1*(1+FacDevGrowth)^995</f>
        <v>3.8340850382891024E+45</v>
      </c>
      <c r="F997" s="4">
        <f t="shared" si="60"/>
        <v>1.1502255114867306E+46</v>
      </c>
      <c r="G997" s="4">
        <f t="shared" si="61"/>
        <v>1.1502255114867306E+46</v>
      </c>
      <c r="H997" s="4">
        <f>SalaryFTECount*SalaryPerFTE*(1+SalaryGrowth)^995</f>
        <v>1.8637681982074062E+22</v>
      </c>
      <c r="I997" s="4">
        <f>SimOpsY1*(1+SimOpsGrowth)^995</f>
        <v>5.4169891315402288E+37</v>
      </c>
      <c r="J997" s="4">
        <f>TrainDevY1*(1+TrainDevGrowth)^995</f>
        <v>2.7084945657701144E+37</v>
      </c>
      <c r="K997" s="4">
        <f>AdminY1*(1+AdminGrowth)^995</f>
        <v>3.0224973872250026E+29</v>
      </c>
      <c r="L997" s="4">
        <f t="shared" si="62"/>
        <v>8.1254837275353186E+37</v>
      </c>
      <c r="M997" s="4">
        <f t="shared" si="63"/>
        <v>1.1502255033612469E+46</v>
      </c>
    </row>
    <row r="998" spans="1:13" x14ac:dyDescent="0.2">
      <c r="A998" s="3">
        <f>StartYear+996</f>
        <v>3021</v>
      </c>
      <c r="B998" s="4">
        <f>FacultyFTE*HoursPerWeek*WeeksPerYear*RatePerHour*(1+PracticeGrowth)^996</f>
        <v>3.6638219603626164E+26</v>
      </c>
      <c r="C998" s="4">
        <f>StudentsY1*(1+StudentGrowth)^996*CreditsPerStudent*TuitionPerCredit</f>
        <v>2.289888725226635E+27</v>
      </c>
      <c r="D998" s="4">
        <f>SimRevY1*(1+SimGrowth)^996</f>
        <v>8.4349870842360255E+45</v>
      </c>
      <c r="E998" s="4">
        <f>FacDevRevY1*(1+FacDevGrowth)^996</f>
        <v>4.2174935421180127E+45</v>
      </c>
      <c r="F998" s="4">
        <f t="shared" si="60"/>
        <v>1.2652480626354037E+46</v>
      </c>
      <c r="G998" s="4">
        <f t="shared" si="61"/>
        <v>1.2652480626354037E+46</v>
      </c>
      <c r="H998" s="4">
        <f>SalaryFTECount*SalaryPerFTE*(1+SalaryGrowth)^996</f>
        <v>1.9383189261357026E+22</v>
      </c>
      <c r="I998" s="4">
        <f>SimOpsY1*(1+SimOpsGrowth)^996</f>
        <v>5.8503482620634468E+37</v>
      </c>
      <c r="J998" s="4">
        <f>TrainDevY1*(1+TrainDevGrowth)^996</f>
        <v>2.9251741310317234E+37</v>
      </c>
      <c r="K998" s="4">
        <f>AdminY1*(1+AdminGrowth)^996</f>
        <v>3.2038472304585038E+29</v>
      </c>
      <c r="L998" s="4">
        <f t="shared" si="62"/>
        <v>8.7755224251336434E+37</v>
      </c>
      <c r="M998" s="4">
        <f t="shared" si="63"/>
        <v>1.2652480538598812E+46</v>
      </c>
    </row>
    <row r="999" spans="1:13" x14ac:dyDescent="0.2">
      <c r="A999" s="3">
        <f>StartYear+997</f>
        <v>3022</v>
      </c>
      <c r="B999" s="4">
        <f>FacultyFTE*HoursPerWeek*WeeksPerYear*RatePerHour*(1+PracticeGrowth)^997</f>
        <v>3.8470130583807464E+26</v>
      </c>
      <c r="C999" s="4">
        <f>StudentsY1*(1+StudentGrowth)^997*CreditsPerStudent*TuitionPerCredit</f>
        <v>2.4043831614879663E+27</v>
      </c>
      <c r="D999" s="4">
        <f>SimRevY1*(1+SimGrowth)^997</f>
        <v>9.2784857926596275E+45</v>
      </c>
      <c r="E999" s="4">
        <f>FacDevRevY1*(1+FacDevGrowth)^997</f>
        <v>4.6392428963298137E+45</v>
      </c>
      <c r="F999" s="4">
        <f t="shared" si="60"/>
        <v>1.3917728688989441E+46</v>
      </c>
      <c r="G999" s="4">
        <f t="shared" si="61"/>
        <v>1.3917728688989441E+46</v>
      </c>
      <c r="H999" s="4">
        <f>SalaryFTECount*SalaryPerFTE*(1+SalaryGrowth)^997</f>
        <v>2.015851683181131E+22</v>
      </c>
      <c r="I999" s="4">
        <f>SimOpsY1*(1+SimOpsGrowth)^997</f>
        <v>6.3183761230285221E+37</v>
      </c>
      <c r="J999" s="4">
        <f>TrainDevY1*(1+TrainDevGrowth)^997</f>
        <v>3.159188061514261E+37</v>
      </c>
      <c r="K999" s="4">
        <f>AdminY1*(1+AdminGrowth)^997</f>
        <v>3.3960780642860129E+29</v>
      </c>
      <c r="L999" s="4">
        <f t="shared" si="62"/>
        <v>9.4775642185035669E+37</v>
      </c>
      <c r="M999" s="4">
        <f t="shared" si="63"/>
        <v>1.39177285942138E+46</v>
      </c>
    </row>
    <row r="1000" spans="1:13" x14ac:dyDescent="0.2">
      <c r="A1000" s="3">
        <f>StartYear+998</f>
        <v>3023</v>
      </c>
      <c r="B1000" s="4">
        <f>FacultyFTE*HoursPerWeek*WeeksPerYear*RatePerHour*(1+PracticeGrowth)^998</f>
        <v>4.0393637112997847E+26</v>
      </c>
      <c r="C1000" s="4">
        <f>StudentsY1*(1+StudentGrowth)^998*CreditsPerStudent*TuitionPerCredit</f>
        <v>2.5246023195623655E+27</v>
      </c>
      <c r="D1000" s="4">
        <f>SimRevY1*(1+SimGrowth)^998</f>
        <v>1.020633437192559E+46</v>
      </c>
      <c r="E1000" s="4">
        <f>FacDevRevY1*(1+FacDevGrowth)^998</f>
        <v>5.1031671859627951E+45</v>
      </c>
      <c r="F1000" s="4">
        <f t="shared" si="60"/>
        <v>1.5309501557888385E+46</v>
      </c>
      <c r="G1000" s="4">
        <f t="shared" si="61"/>
        <v>1.5309501557888385E+46</v>
      </c>
      <c r="H1000" s="4">
        <f>SalaryFTECount*SalaryPerFTE*(1+SalaryGrowth)^998</f>
        <v>2.0964857505083757E+22</v>
      </c>
      <c r="I1000" s="4">
        <f>SimOpsY1*(1+SimOpsGrowth)^998</f>
        <v>6.8238462128708058E+37</v>
      </c>
      <c r="J1000" s="4">
        <f>TrainDevY1*(1+TrainDevGrowth)^998</f>
        <v>3.4119231064354029E+37</v>
      </c>
      <c r="K1000" s="4">
        <f>AdminY1*(1+AdminGrowth)^998</f>
        <v>3.5998427481431752E+29</v>
      </c>
      <c r="L1000" s="4">
        <f t="shared" si="62"/>
        <v>1.0235769355304638E+38</v>
      </c>
      <c r="M1000" s="4">
        <f t="shared" si="63"/>
        <v>1.5309501455530693E+46</v>
      </c>
    </row>
    <row r="1001" spans="1:13" x14ac:dyDescent="0.2">
      <c r="A1001" s="3">
        <f>StartYear+999</f>
        <v>3024</v>
      </c>
      <c r="B1001" s="4">
        <f>FacultyFTE*HoursPerWeek*WeeksPerYear*RatePerHour*(1+PracticeGrowth)^999</f>
        <v>4.2413318968647747E+26</v>
      </c>
      <c r="C1001" s="4">
        <f>StudentsY1*(1+StudentGrowth)^999*CreditsPerStudent*TuitionPerCredit</f>
        <v>2.650832435540484E+27</v>
      </c>
      <c r="D1001" s="4">
        <f>SimRevY1*(1+SimGrowth)^999</f>
        <v>1.1226967809118151E+46</v>
      </c>
      <c r="E1001" s="4">
        <f>FacDevRevY1*(1+FacDevGrowth)^999</f>
        <v>5.6134839045590753E+45</v>
      </c>
      <c r="F1001" s="4">
        <f t="shared" si="60"/>
        <v>1.6840451713677226E+46</v>
      </c>
      <c r="G1001" s="4">
        <f t="shared" si="61"/>
        <v>1.6840451713677226E+46</v>
      </c>
      <c r="H1001" s="4">
        <f>SalaryFTECount*SalaryPerFTE*(1+SalaryGrowth)^999</f>
        <v>2.1803451805287108E+22</v>
      </c>
      <c r="I1001" s="4">
        <f>SimOpsY1*(1+SimOpsGrowth)^999</f>
        <v>7.3697539099004689E+37</v>
      </c>
      <c r="J1001" s="4">
        <f>TrainDevY1*(1+TrainDevGrowth)^999</f>
        <v>3.6848769549502345E+37</v>
      </c>
      <c r="K1001" s="4">
        <f>AdminY1*(1+AdminGrowth)^999</f>
        <v>3.8158333130317656E+29</v>
      </c>
      <c r="L1001" s="4">
        <f t="shared" si="62"/>
        <v>1.1054630903009038E+38</v>
      </c>
      <c r="M1001" s="4">
        <f t="shared" si="63"/>
        <v>1.6840451603130916E+46</v>
      </c>
    </row>
    <row r="1002" spans="1:13" x14ac:dyDescent="0.2">
      <c r="A1002" s="3">
        <f>StartYear+1000</f>
        <v>3025</v>
      </c>
      <c r="B1002" s="4">
        <f>FacultyFTE*HoursPerWeek*WeeksPerYear*RatePerHour*(1+PracticeGrowth)^1000</f>
        <v>4.4533984917080121E+26</v>
      </c>
      <c r="C1002" s="4">
        <f>StudentsY1*(1+StudentGrowth)^1000*CreditsPerStudent*TuitionPerCredit</f>
        <v>2.7833740573175078E+27</v>
      </c>
      <c r="D1002" s="4">
        <f>SimRevY1*(1+SimGrowth)^1000</f>
        <v>1.2349664590029965E+46</v>
      </c>
      <c r="E1002" s="4">
        <f>FacDevRevY1*(1+FacDevGrowth)^1000</f>
        <v>6.1748322950149826E+45</v>
      </c>
      <c r="F1002" s="4">
        <f t="shared" si="60"/>
        <v>1.8524496885044949E+46</v>
      </c>
      <c r="G1002" s="4">
        <f t="shared" si="61"/>
        <v>1.8524496885044949E+46</v>
      </c>
      <c r="H1002" s="4">
        <f>SalaryFTECount*SalaryPerFTE*(1+SalaryGrowth)^1000</f>
        <v>2.2675589877498605E+22</v>
      </c>
      <c r="I1002" s="4">
        <f>SimOpsY1*(1+SimOpsGrowth)^1000</f>
        <v>7.9593342226925057E+37</v>
      </c>
      <c r="J1002" s="4">
        <f>TrainDevY1*(1+TrainDevGrowth)^1000</f>
        <v>3.9796671113462529E+37</v>
      </c>
      <c r="K1002" s="4">
        <f>AdminY1*(1+AdminGrowth)^1000</f>
        <v>4.0447833118136715E+29</v>
      </c>
      <c r="L1002" s="4">
        <f t="shared" si="62"/>
        <v>1.1939001374486595E+38</v>
      </c>
      <c r="M1002" s="4">
        <f t="shared" si="63"/>
        <v>1.8524496765654936E+46</v>
      </c>
    </row>
    <row r="1003" spans="1:13" x14ac:dyDescent="0.2">
      <c r="A1003" s="3">
        <f>StartYear+1001</f>
        <v>3026</v>
      </c>
      <c r="B1003" s="4">
        <f>FacultyFTE*HoursPerWeek*WeeksPerYear*RatePerHour*(1+PracticeGrowth)^1001</f>
        <v>4.6760684162934134E+26</v>
      </c>
      <c r="C1003" s="4">
        <f>StudentsY1*(1+StudentGrowth)^1001*CreditsPerStudent*TuitionPerCredit</f>
        <v>2.9225427601833842E+27</v>
      </c>
      <c r="D1003" s="4">
        <f>SimRevY1*(1+SimGrowth)^1001</f>
        <v>1.3584631049032962E+46</v>
      </c>
      <c r="E1003" s="4">
        <f>FacDevRevY1*(1+FacDevGrowth)^1001</f>
        <v>6.7923155245164812E+45</v>
      </c>
      <c r="F1003" s="4">
        <f t="shared" si="60"/>
        <v>2.0376946573549442E+46</v>
      </c>
      <c r="G1003" s="4">
        <f t="shared" si="61"/>
        <v>2.0376946573549442E+46</v>
      </c>
      <c r="H1003" s="4">
        <f>SalaryFTECount*SalaryPerFTE*(1+SalaryGrowth)^1001</f>
        <v>2.3582613472598542E+22</v>
      </c>
      <c r="I1003" s="4">
        <f>SimOpsY1*(1+SimOpsGrowth)^1001</f>
        <v>8.5960809605079063E+37</v>
      </c>
      <c r="J1003" s="4">
        <f>TrainDevY1*(1+TrainDevGrowth)^1001</f>
        <v>4.2980404802539532E+37</v>
      </c>
      <c r="K1003" s="4">
        <f>AdminY1*(1+AdminGrowth)^1001</f>
        <v>4.2874703105224917E+29</v>
      </c>
      <c r="L1003" s="4">
        <f t="shared" si="62"/>
        <v>1.2894121483636566E+38</v>
      </c>
      <c r="M1003" s="4">
        <f t="shared" si="63"/>
        <v>2.0376946444608227E+46</v>
      </c>
    </row>
    <row r="1004" spans="1:13" x14ac:dyDescent="0.2">
      <c r="A1004" s="3">
        <f>StartYear+1002</f>
        <v>3027</v>
      </c>
      <c r="B1004" s="4">
        <f>FacultyFTE*HoursPerWeek*WeeksPerYear*RatePerHour*(1+PracticeGrowth)^1002</f>
        <v>4.9098718371080848E+26</v>
      </c>
      <c r="C1004" s="4">
        <f>StudentsY1*(1+StudentGrowth)^1002*CreditsPerStudent*TuitionPerCredit</f>
        <v>3.0686698981925529E+27</v>
      </c>
      <c r="D1004" s="4">
        <f>SimRevY1*(1+SimGrowth)^1002</f>
        <v>1.4943094153936263E+46</v>
      </c>
      <c r="E1004" s="4">
        <f>FacDevRevY1*(1+FacDevGrowth)^1002</f>
        <v>7.4715470769681315E+45</v>
      </c>
      <c r="F1004" s="4">
        <f t="shared" si="60"/>
        <v>2.2414641230904396E+46</v>
      </c>
      <c r="G1004" s="4">
        <f t="shared" si="61"/>
        <v>2.2414641230904396E+46</v>
      </c>
      <c r="H1004" s="4">
        <f>SalaryFTECount*SalaryPerFTE*(1+SalaryGrowth)^1002</f>
        <v>2.4525918011502482E+22</v>
      </c>
      <c r="I1004" s="4">
        <f>SimOpsY1*(1+SimOpsGrowth)^1002</f>
        <v>9.2837674373485399E+37</v>
      </c>
      <c r="J1004" s="4">
        <f>TrainDevY1*(1+TrainDevGrowth)^1002</f>
        <v>4.6418837186742699E+37</v>
      </c>
      <c r="K1004" s="4">
        <f>AdminY1*(1+AdminGrowth)^1002</f>
        <v>4.5447185291538406E+29</v>
      </c>
      <c r="L1004" s="4">
        <f t="shared" si="62"/>
        <v>1.3925651201469999E+38</v>
      </c>
      <c r="M1004" s="4">
        <f t="shared" si="63"/>
        <v>2.2414641091647884E+46</v>
      </c>
    </row>
    <row r="1005" spans="1:13" x14ac:dyDescent="0.2">
      <c r="A1005" s="3">
        <f>StartYear+1003</f>
        <v>3028</v>
      </c>
      <c r="B1005" s="4">
        <f>FacultyFTE*HoursPerWeek*WeeksPerYear*RatePerHour*(1+PracticeGrowth)^1003</f>
        <v>5.1553654289634895E+26</v>
      </c>
      <c r="C1005" s="4">
        <f>StudentsY1*(1+StudentGrowth)^1003*CreditsPerStudent*TuitionPerCredit</f>
        <v>3.2221033931021813E+27</v>
      </c>
      <c r="D1005" s="4">
        <f>SimRevY1*(1+SimGrowth)^1003</f>
        <v>1.6437403569329888E+46</v>
      </c>
      <c r="E1005" s="4">
        <f>FacDevRevY1*(1+FacDevGrowth)^1003</f>
        <v>8.218701784664944E+45</v>
      </c>
      <c r="F1005" s="4">
        <f t="shared" si="60"/>
        <v>2.4656105353994833E+46</v>
      </c>
      <c r="G1005" s="4">
        <f t="shared" si="61"/>
        <v>2.4656105353994833E+46</v>
      </c>
      <c r="H1005" s="4">
        <f>SalaryFTECount*SalaryPerFTE*(1+SalaryGrowth)^1003</f>
        <v>2.5506954731962587E+22</v>
      </c>
      <c r="I1005" s="4">
        <f>SimOpsY1*(1+SimOpsGrowth)^1003</f>
        <v>1.0026468832336423E+38</v>
      </c>
      <c r="J1005" s="4">
        <f>TrainDevY1*(1+TrainDevGrowth)^1003</f>
        <v>5.0132344161682117E+37</v>
      </c>
      <c r="K1005" s="4">
        <f>AdminY1*(1+AdminGrowth)^1003</f>
        <v>4.8174016409030727E+29</v>
      </c>
      <c r="L1005" s="4">
        <f t="shared" si="62"/>
        <v>1.5039703296678653E+38</v>
      </c>
      <c r="M1005" s="4">
        <f t="shared" si="63"/>
        <v>2.46561052035978E+46</v>
      </c>
    </row>
    <row r="1006" spans="1:13" x14ac:dyDescent="0.2">
      <c r="A1006" s="3">
        <f>StartYear+1004</f>
        <v>3029</v>
      </c>
      <c r="B1006" s="4">
        <f>FacultyFTE*HoursPerWeek*WeeksPerYear*RatePerHour*(1+PracticeGrowth)^1004</f>
        <v>5.4131337004116625E+26</v>
      </c>
      <c r="C1006" s="4">
        <f>StudentsY1*(1+StudentGrowth)^1004*CreditsPerStudent*TuitionPerCredit</f>
        <v>3.3832085627572887E+27</v>
      </c>
      <c r="D1006" s="4">
        <f>SimRevY1*(1+SimGrowth)^1004</f>
        <v>1.8081143926262879E+46</v>
      </c>
      <c r="E1006" s="4">
        <f>FacDevRevY1*(1+FacDevGrowth)^1004</f>
        <v>9.0405719631314393E+45</v>
      </c>
      <c r="F1006" s="4">
        <f t="shared" si="60"/>
        <v>2.7121715889394317E+46</v>
      </c>
      <c r="G1006" s="4">
        <f t="shared" si="61"/>
        <v>2.7121715889394317E+46</v>
      </c>
      <c r="H1006" s="4">
        <f>SalaryFTECount*SalaryPerFTE*(1+SalaryGrowth)^1004</f>
        <v>2.6527232921241091E+22</v>
      </c>
      <c r="I1006" s="4">
        <f>SimOpsY1*(1+SimOpsGrowth)^1004</f>
        <v>1.0828586338923339E+38</v>
      </c>
      <c r="J1006" s="4">
        <f>TrainDevY1*(1+TrainDevGrowth)^1004</f>
        <v>5.4142931694616694E+37</v>
      </c>
      <c r="K1006" s="4">
        <f>AdminY1*(1+AdminGrowth)^1004</f>
        <v>5.1064457393572572E+29</v>
      </c>
      <c r="L1006" s="4">
        <f t="shared" si="62"/>
        <v>1.6242879559449469E+38</v>
      </c>
      <c r="M1006" s="4">
        <f t="shared" si="63"/>
        <v>2.712171572696552E+46</v>
      </c>
    </row>
    <row r="1007" spans="1:13" x14ac:dyDescent="0.2">
      <c r="A1007" s="3">
        <f>StartYear+1005</f>
        <v>3030</v>
      </c>
      <c r="B1007" s="4">
        <f>FacultyFTE*HoursPerWeek*WeeksPerYear*RatePerHour*(1+PracticeGrowth)^1005</f>
        <v>5.6837903854322468E+26</v>
      </c>
      <c r="C1007" s="4">
        <f>StudentsY1*(1+StudentGrowth)^1005*CreditsPerStudent*TuitionPerCredit</f>
        <v>3.5523689908951544E+27</v>
      </c>
      <c r="D1007" s="4">
        <f>SimRevY1*(1+SimGrowth)^1005</f>
        <v>1.988925831888917E+46</v>
      </c>
      <c r="E1007" s="4">
        <f>FacDevRevY1*(1+FacDevGrowth)^1005</f>
        <v>9.9446291594445849E+45</v>
      </c>
      <c r="F1007" s="4">
        <f t="shared" si="60"/>
        <v>2.9833887478333756E+46</v>
      </c>
      <c r="G1007" s="4">
        <f t="shared" si="61"/>
        <v>2.9833887478333756E+46</v>
      </c>
      <c r="H1007" s="4">
        <f>SalaryFTECount*SalaryPerFTE*(1+SalaryGrowth)^1005</f>
        <v>2.7588322238090736E+22</v>
      </c>
      <c r="I1007" s="4">
        <f>SimOpsY1*(1+SimOpsGrowth)^1005</f>
        <v>1.1694873246037207E+38</v>
      </c>
      <c r="J1007" s="4">
        <f>TrainDevY1*(1+TrainDevGrowth)^1005</f>
        <v>5.8474366230186034E+37</v>
      </c>
      <c r="K1007" s="4">
        <f>AdminY1*(1+AdminGrowth)^1005</f>
        <v>5.4128324837186936E+29</v>
      </c>
      <c r="L1007" s="4">
        <f t="shared" si="62"/>
        <v>1.7542309923184136E+38</v>
      </c>
      <c r="M1007" s="4">
        <f t="shared" si="63"/>
        <v>2.9833887302910658E+46</v>
      </c>
    </row>
    <row r="1008" spans="1:13" x14ac:dyDescent="0.2">
      <c r="A1008" s="3">
        <f>StartYear+1006</f>
        <v>3031</v>
      </c>
      <c r="B1008" s="4">
        <f>FacultyFTE*HoursPerWeek*WeeksPerYear*RatePerHour*(1+PracticeGrowth)^1006</f>
        <v>5.9679799047038577E+26</v>
      </c>
      <c r="C1008" s="4">
        <f>StudentsY1*(1+StudentGrowth)^1006*CreditsPerStudent*TuitionPerCredit</f>
        <v>3.7299874404399107E+27</v>
      </c>
      <c r="D1008" s="4">
        <f>SimRevY1*(1+SimGrowth)^1006</f>
        <v>2.1878184150778088E+46</v>
      </c>
      <c r="E1008" s="4">
        <f>FacDevRevY1*(1+FacDevGrowth)^1006</f>
        <v>1.0939092075389044E+46</v>
      </c>
      <c r="F1008" s="4">
        <f t="shared" si="60"/>
        <v>3.281727622616713E+46</v>
      </c>
      <c r="G1008" s="4">
        <f t="shared" si="61"/>
        <v>3.281727622616713E+46</v>
      </c>
      <c r="H1008" s="4">
        <f>SalaryFTECount*SalaryPerFTE*(1+SalaryGrowth)^1006</f>
        <v>2.8691855127614369E+22</v>
      </c>
      <c r="I1008" s="4">
        <f>SimOpsY1*(1+SimOpsGrowth)^1006</f>
        <v>1.2630463105720183E+38</v>
      </c>
      <c r="J1008" s="4">
        <f>TrainDevY1*(1+TrainDevGrowth)^1006</f>
        <v>6.3152315528600916E+37</v>
      </c>
      <c r="K1008" s="4">
        <f>AdminY1*(1+AdminGrowth)^1006</f>
        <v>5.7376024327418151E+29</v>
      </c>
      <c r="L1008" s="4">
        <f t="shared" si="62"/>
        <v>1.8945694715956302E+38</v>
      </c>
      <c r="M1008" s="4">
        <f t="shared" si="63"/>
        <v>3.2817276036710181E+46</v>
      </c>
    </row>
    <row r="1009" spans="1:13" x14ac:dyDescent="0.2">
      <c r="A1009" s="3">
        <f>StartYear+1007</f>
        <v>3032</v>
      </c>
      <c r="B1009" s="4">
        <f>FacultyFTE*HoursPerWeek*WeeksPerYear*RatePerHour*(1+PracticeGrowth)^1007</f>
        <v>6.2663788999390526E+26</v>
      </c>
      <c r="C1009" s="4">
        <f>StudentsY1*(1+StudentGrowth)^1007*CreditsPerStudent*TuitionPerCredit</f>
        <v>3.9164868124619082E+27</v>
      </c>
      <c r="D1009" s="4">
        <f>SimRevY1*(1+SimGrowth)^1007</f>
        <v>2.4066002565855897E+46</v>
      </c>
      <c r="E1009" s="4">
        <f>FacDevRevY1*(1+FacDevGrowth)^1007</f>
        <v>1.2033001282927949E+46</v>
      </c>
      <c r="F1009" s="4">
        <f t="shared" si="60"/>
        <v>3.6099003848783849E+46</v>
      </c>
      <c r="G1009" s="4">
        <f t="shared" si="61"/>
        <v>3.6099003848783849E+46</v>
      </c>
      <c r="H1009" s="4">
        <f>SalaryFTECount*SalaryPerFTE*(1+SalaryGrowth)^1007</f>
        <v>2.9839529332718944E+22</v>
      </c>
      <c r="I1009" s="4">
        <f>SimOpsY1*(1+SimOpsGrowth)^1007</f>
        <v>1.3640900154177801E+38</v>
      </c>
      <c r="J1009" s="4">
        <f>TrainDevY1*(1+TrainDevGrowth)^1007</f>
        <v>6.8204500770889003E+37</v>
      </c>
      <c r="K1009" s="4">
        <f>AdminY1*(1+AdminGrowth)^1007</f>
        <v>6.0818585787063253E+29</v>
      </c>
      <c r="L1009" s="4">
        <f t="shared" si="62"/>
        <v>2.0461350292085293E+38</v>
      </c>
      <c r="M1009" s="4">
        <f t="shared" si="63"/>
        <v>3.6099003644170347E+46</v>
      </c>
    </row>
    <row r="1010" spans="1:13" x14ac:dyDescent="0.2">
      <c r="A1010" s="3">
        <f>StartYear+1008</f>
        <v>3033</v>
      </c>
      <c r="B1010" s="4">
        <f>FacultyFTE*HoursPerWeek*WeeksPerYear*RatePerHour*(1+PracticeGrowth)^1008</f>
        <v>6.5796978449360058E+26</v>
      </c>
      <c r="C1010" s="4">
        <f>StudentsY1*(1+StudentGrowth)^1008*CreditsPerStudent*TuitionPerCredit</f>
        <v>4.1123111530850036E+27</v>
      </c>
      <c r="D1010" s="4">
        <f>SimRevY1*(1+SimGrowth)^1008</f>
        <v>2.6472602822441488E+46</v>
      </c>
      <c r="E1010" s="4">
        <f>FacDevRevY1*(1+FacDevGrowth)^1008</f>
        <v>1.3236301411220744E+46</v>
      </c>
      <c r="F1010" s="4">
        <f t="shared" si="60"/>
        <v>3.9708904233662231E+46</v>
      </c>
      <c r="G1010" s="4">
        <f t="shared" si="61"/>
        <v>3.9708904233662231E+46</v>
      </c>
      <c r="H1010" s="4">
        <f>SalaryFTECount*SalaryPerFTE*(1+SalaryGrowth)^1008</f>
        <v>3.1033110506027702E+22</v>
      </c>
      <c r="I1010" s="4">
        <f>SimOpsY1*(1+SimOpsGrowth)^1008</f>
        <v>1.4732172166512024E+38</v>
      </c>
      <c r="J1010" s="4">
        <f>TrainDevY1*(1+TrainDevGrowth)^1008</f>
        <v>7.3660860832560122E+37</v>
      </c>
      <c r="K1010" s="4">
        <f>AdminY1*(1+AdminGrowth)^1008</f>
        <v>6.4467700934287026E+29</v>
      </c>
      <c r="L1010" s="4">
        <f t="shared" si="62"/>
        <v>2.209825831423574E+38</v>
      </c>
      <c r="M1010" s="4">
        <f t="shared" si="63"/>
        <v>3.9708904012679649E+46</v>
      </c>
    </row>
    <row r="1011" spans="1:13" x14ac:dyDescent="0.2">
      <c r="A1011" s="3">
        <f>StartYear+1009</f>
        <v>3034</v>
      </c>
      <c r="B1011" s="4">
        <f>FacultyFTE*HoursPerWeek*WeeksPerYear*RatePerHour*(1+PracticeGrowth)^1009</f>
        <v>6.9086827371828061E+26</v>
      </c>
      <c r="C1011" s="4">
        <f>StudentsY1*(1+StudentGrowth)^1009*CreditsPerStudent*TuitionPerCredit</f>
        <v>4.3179267107392542E+27</v>
      </c>
      <c r="D1011" s="4">
        <f>SimRevY1*(1+SimGrowth)^1009</f>
        <v>2.9119863104685638E+46</v>
      </c>
      <c r="E1011" s="4">
        <f>FacDevRevY1*(1+FacDevGrowth)^1009</f>
        <v>1.4559931552342819E+46</v>
      </c>
      <c r="F1011" s="4">
        <f t="shared" si="60"/>
        <v>4.3679794657028458E+46</v>
      </c>
      <c r="G1011" s="4">
        <f t="shared" si="61"/>
        <v>4.3679794657028458E+46</v>
      </c>
      <c r="H1011" s="4">
        <f>SalaryFTECount*SalaryPerFTE*(1+SalaryGrowth)^1009</f>
        <v>3.2274434926268807E+22</v>
      </c>
      <c r="I1011" s="4">
        <f>SimOpsY1*(1+SimOpsGrowth)^1009</f>
        <v>1.5910745939832985E+38</v>
      </c>
      <c r="J1011" s="4">
        <f>TrainDevY1*(1+TrainDevGrowth)^1009</f>
        <v>7.9553729699164927E+37</v>
      </c>
      <c r="K1011" s="4">
        <f>AdminY1*(1+AdminGrowth)^1009</f>
        <v>6.8335762990344253E+29</v>
      </c>
      <c r="L1011" s="4">
        <f t="shared" si="62"/>
        <v>2.3866118978085247E+38</v>
      </c>
      <c r="M1011" s="4">
        <f t="shared" si="63"/>
        <v>4.3679794418367266E+46</v>
      </c>
    </row>
    <row r="1012" spans="1:13" x14ac:dyDescent="0.2">
      <c r="A1012" s="3">
        <f>StartYear+1010</f>
        <v>3035</v>
      </c>
      <c r="B1012" s="4">
        <f>FacultyFTE*HoursPerWeek*WeeksPerYear*RatePerHour*(1+PracticeGrowth)^1010</f>
        <v>7.2541168740419448E+26</v>
      </c>
      <c r="C1012" s="4">
        <f>StudentsY1*(1+StudentGrowth)^1010*CreditsPerStudent*TuitionPerCredit</f>
        <v>4.5338230462762164E+27</v>
      </c>
      <c r="D1012" s="4">
        <f>SimRevY1*(1+SimGrowth)^1010</f>
        <v>3.2031849415154205E+46</v>
      </c>
      <c r="E1012" s="4">
        <f>FacDevRevY1*(1+FacDevGrowth)^1010</f>
        <v>1.6015924707577103E+46</v>
      </c>
      <c r="F1012" s="4">
        <f t="shared" si="60"/>
        <v>4.8047774122731311E+46</v>
      </c>
      <c r="G1012" s="4">
        <f t="shared" si="61"/>
        <v>4.8047774122731311E+46</v>
      </c>
      <c r="H1012" s="4">
        <f>SalaryFTECount*SalaryPerFTE*(1+SalaryGrowth)^1010</f>
        <v>3.3565412323319567E+22</v>
      </c>
      <c r="I1012" s="4">
        <f>SimOpsY1*(1+SimOpsGrowth)^1010</f>
        <v>1.7183605615019627E+38</v>
      </c>
      <c r="J1012" s="4">
        <f>TrainDevY1*(1+TrainDevGrowth)^1010</f>
        <v>8.5918028075098137E+37</v>
      </c>
      <c r="K1012" s="4">
        <f>AdminY1*(1+AdminGrowth)^1010</f>
        <v>7.2435908769764907E+29</v>
      </c>
      <c r="L1012" s="4">
        <f t="shared" si="62"/>
        <v>2.5775408494965352E+38</v>
      </c>
      <c r="M1012" s="4">
        <f t="shared" si="63"/>
        <v>4.8047773864977227E+46</v>
      </c>
    </row>
    <row r="1013" spans="1:13" x14ac:dyDescent="0.2">
      <c r="A1013" s="3">
        <f>StartYear+1011</f>
        <v>3036</v>
      </c>
      <c r="B1013" s="4">
        <f>FacultyFTE*HoursPerWeek*WeeksPerYear*RatePerHour*(1+PracticeGrowth)^1011</f>
        <v>7.6168227177440437E+26</v>
      </c>
      <c r="C1013" s="4">
        <f>StudentsY1*(1+StudentGrowth)^1011*CreditsPerStudent*TuitionPerCredit</f>
        <v>4.7605141985900275E+27</v>
      </c>
      <c r="D1013" s="4">
        <f>SimRevY1*(1+SimGrowth)^1011</f>
        <v>3.523503435666962E+46</v>
      </c>
      <c r="E1013" s="4">
        <f>FacDevRevY1*(1+FacDevGrowth)^1011</f>
        <v>1.761751717833481E+46</v>
      </c>
      <c r="F1013" s="4">
        <f t="shared" si="60"/>
        <v>5.2852551535004435E+46</v>
      </c>
      <c r="G1013" s="4">
        <f t="shared" si="61"/>
        <v>5.2852551535004435E+46</v>
      </c>
      <c r="H1013" s="4">
        <f>SalaryFTECount*SalaryPerFTE*(1+SalaryGrowth)^1011</f>
        <v>3.490802881625235E+22</v>
      </c>
      <c r="I1013" s="4">
        <f>SimOpsY1*(1+SimOpsGrowth)^1011</f>
        <v>1.8558294064221196E+38</v>
      </c>
      <c r="J1013" s="4">
        <f>TrainDevY1*(1+TrainDevGrowth)^1011</f>
        <v>9.2791470321105979E+37</v>
      </c>
      <c r="K1013" s="4">
        <f>AdminY1*(1+AdminGrowth)^1011</f>
        <v>7.6782063295950805E+29</v>
      </c>
      <c r="L1013" s="4">
        <f t="shared" si="62"/>
        <v>2.7837441173113861E+38</v>
      </c>
      <c r="M1013" s="4">
        <f t="shared" si="63"/>
        <v>5.2852551256630027E+46</v>
      </c>
    </row>
    <row r="1014" spans="1:13" x14ac:dyDescent="0.2">
      <c r="A1014" s="3">
        <f>StartYear+1012</f>
        <v>3037</v>
      </c>
      <c r="B1014" s="4">
        <f>FacultyFTE*HoursPerWeek*WeeksPerYear*RatePerHour*(1+PracticeGrowth)^1012</f>
        <v>7.9976638536312481E+26</v>
      </c>
      <c r="C1014" s="4">
        <f>StudentsY1*(1+StudentGrowth)^1012*CreditsPerStudent*TuitionPerCredit</f>
        <v>4.9985399085195301E+27</v>
      </c>
      <c r="D1014" s="4">
        <f>SimRevY1*(1+SimGrowth)^1012</f>
        <v>3.8758537792336597E+46</v>
      </c>
      <c r="E1014" s="4">
        <f>FacDevRevY1*(1+FacDevGrowth)^1012</f>
        <v>1.9379268896168298E+46</v>
      </c>
      <c r="F1014" s="4">
        <f t="shared" si="60"/>
        <v>5.8137806688504897E+46</v>
      </c>
      <c r="G1014" s="4">
        <f t="shared" si="61"/>
        <v>5.8137806688504897E+46</v>
      </c>
      <c r="H1014" s="4">
        <f>SalaryFTECount*SalaryPerFTE*(1+SalaryGrowth)^1012</f>
        <v>3.6304349968902442E+22</v>
      </c>
      <c r="I1014" s="4">
        <f>SimOpsY1*(1+SimOpsGrowth)^1012</f>
        <v>2.0042957589358896E+38</v>
      </c>
      <c r="J1014" s="4">
        <f>TrainDevY1*(1+TrainDevGrowth)^1012</f>
        <v>1.0021478794679448E+38</v>
      </c>
      <c r="K1014" s="4">
        <f>AdminY1*(1+AdminGrowth)^1012</f>
        <v>8.1388987093707862E+29</v>
      </c>
      <c r="L1014" s="4">
        <f t="shared" si="62"/>
        <v>3.0064436465427339E+38</v>
      </c>
      <c r="M1014" s="4">
        <f t="shared" si="63"/>
        <v>5.8137806387860535E+46</v>
      </c>
    </row>
    <row r="1015" spans="1:13" x14ac:dyDescent="0.2">
      <c r="A1015" s="3">
        <f>StartYear+1013</f>
        <v>3038</v>
      </c>
      <c r="B1015" s="4">
        <f>FacultyFTE*HoursPerWeek*WeeksPerYear*RatePerHour*(1+PracticeGrowth)^1013</f>
        <v>8.3975470463128061E+26</v>
      </c>
      <c r="C1015" s="4">
        <f>StudentsY1*(1+StudentGrowth)^1013*CreditsPerStudent*TuitionPerCredit</f>
        <v>5.2484669039455038E+27</v>
      </c>
      <c r="D1015" s="4">
        <f>SimRevY1*(1+SimGrowth)^1013</f>
        <v>4.2634391571570256E+46</v>
      </c>
      <c r="E1015" s="4">
        <f>FacDevRevY1*(1+FacDevGrowth)^1013</f>
        <v>2.1317195785785128E+46</v>
      </c>
      <c r="F1015" s="4">
        <f t="shared" si="60"/>
        <v>6.3951587357355386E+46</v>
      </c>
      <c r="G1015" s="4">
        <f t="shared" si="61"/>
        <v>6.3951587357355386E+46</v>
      </c>
      <c r="H1015" s="4">
        <f>SalaryFTECount*SalaryPerFTE*(1+SalaryGrowth)^1013</f>
        <v>3.7756523967658552E+22</v>
      </c>
      <c r="I1015" s="4">
        <f>SimOpsY1*(1+SimOpsGrowth)^1013</f>
        <v>2.1646394196507607E+38</v>
      </c>
      <c r="J1015" s="4">
        <f>TrainDevY1*(1+TrainDevGrowth)^1013</f>
        <v>1.0823197098253803E+38</v>
      </c>
      <c r="K1015" s="4">
        <f>AdminY1*(1+AdminGrowth)^1013</f>
        <v>8.6272326319330376E+29</v>
      </c>
      <c r="L1015" s="4">
        <f t="shared" si="62"/>
        <v>3.246959138103374E+38</v>
      </c>
      <c r="M1015" s="4">
        <f t="shared" si="63"/>
        <v>6.3951587032659473E+46</v>
      </c>
    </row>
    <row r="1016" spans="1:13" x14ac:dyDescent="0.2">
      <c r="A1016" s="3">
        <f>StartYear+1014</f>
        <v>3039</v>
      </c>
      <c r="B1016" s="4">
        <f>FacultyFTE*HoursPerWeek*WeeksPerYear*RatePerHour*(1+PracticeGrowth)^1014</f>
        <v>8.8174243986284451E+26</v>
      </c>
      <c r="C1016" s="4">
        <f>StudentsY1*(1+StudentGrowth)^1014*CreditsPerStudent*TuitionPerCredit</f>
        <v>5.510890249142779E+27</v>
      </c>
      <c r="D1016" s="4">
        <f>SimRevY1*(1+SimGrowth)^1014</f>
        <v>4.6897830728727298E+46</v>
      </c>
      <c r="E1016" s="4">
        <f>FacDevRevY1*(1+FacDevGrowth)^1014</f>
        <v>2.3448915364363649E+46</v>
      </c>
      <c r="F1016" s="4">
        <f t="shared" si="60"/>
        <v>7.0346746093090947E+46</v>
      </c>
      <c r="G1016" s="4">
        <f t="shared" si="61"/>
        <v>7.0346746093090947E+46</v>
      </c>
      <c r="H1016" s="4">
        <f>SalaryFTECount*SalaryPerFTE*(1+SalaryGrowth)^1014</f>
        <v>3.9266784926364892E+22</v>
      </c>
      <c r="I1016" s="4">
        <f>SimOpsY1*(1+SimOpsGrowth)^1014</f>
        <v>2.3378105732228217E+38</v>
      </c>
      <c r="J1016" s="4">
        <f>TrainDevY1*(1+TrainDevGrowth)^1014</f>
        <v>1.1689052866114109E+38</v>
      </c>
      <c r="K1016" s="4">
        <f>AdminY1*(1+AdminGrowth)^1014</f>
        <v>9.144866589849019E+29</v>
      </c>
      <c r="L1016" s="4">
        <f t="shared" si="62"/>
        <v>3.5067158689790996E+38</v>
      </c>
      <c r="M1016" s="4">
        <f t="shared" si="63"/>
        <v>7.0346745742419362E+46</v>
      </c>
    </row>
    <row r="1017" spans="1:13" x14ac:dyDescent="0.2">
      <c r="A1017" s="3">
        <f>StartYear+1015</f>
        <v>3040</v>
      </c>
      <c r="B1017" s="4">
        <f>FacultyFTE*HoursPerWeek*WeeksPerYear*RatePerHour*(1+PracticeGrowth)^1015</f>
        <v>9.2582956185598704E+26</v>
      </c>
      <c r="C1017" s="4">
        <f>StudentsY1*(1+StudentGrowth)^1015*CreditsPerStudent*TuitionPerCredit</f>
        <v>5.7864347615999185E+27</v>
      </c>
      <c r="D1017" s="4">
        <f>SimRevY1*(1+SimGrowth)^1015</f>
        <v>5.1587613801600018E+46</v>
      </c>
      <c r="E1017" s="4">
        <f>FacDevRevY1*(1+FacDevGrowth)^1015</f>
        <v>2.5793806900800009E+46</v>
      </c>
      <c r="F1017" s="4">
        <f t="shared" si="60"/>
        <v>7.7381420702400031E+46</v>
      </c>
      <c r="G1017" s="4">
        <f t="shared" si="61"/>
        <v>7.7381420702400031E+46</v>
      </c>
      <c r="H1017" s="4">
        <f>SalaryFTECount*SalaryPerFTE*(1+SalaryGrowth)^1015</f>
        <v>4.0837456323419484E+22</v>
      </c>
      <c r="I1017" s="4">
        <f>SimOpsY1*(1+SimOpsGrowth)^1015</f>
        <v>2.5248354190806475E+38</v>
      </c>
      <c r="J1017" s="4">
        <f>TrainDevY1*(1+TrainDevGrowth)^1015</f>
        <v>1.2624177095403237E+38</v>
      </c>
      <c r="K1017" s="4">
        <f>AdminY1*(1+AdminGrowth)^1015</f>
        <v>9.6935585852399593E+29</v>
      </c>
      <c r="L1017" s="4">
        <f t="shared" si="62"/>
        <v>3.78725313831453E+38</v>
      </c>
      <c r="M1017" s="4">
        <f t="shared" si="63"/>
        <v>7.738142032367472E+46</v>
      </c>
    </row>
    <row r="1018" spans="1:13" x14ac:dyDescent="0.2">
      <c r="A1018" s="3">
        <f>StartYear+1016</f>
        <v>3041</v>
      </c>
      <c r="B1018" s="4">
        <f>FacultyFTE*HoursPerWeek*WeeksPerYear*RatePerHour*(1+PracticeGrowth)^1016</f>
        <v>9.7212103994878657E+26</v>
      </c>
      <c r="C1018" s="4">
        <f>StudentsY1*(1+StudentGrowth)^1016*CreditsPerStudent*TuitionPerCredit</f>
        <v>6.0757564996799165E+27</v>
      </c>
      <c r="D1018" s="4">
        <f>SimRevY1*(1+SimGrowth)^1016</f>
        <v>5.674637518176E+46</v>
      </c>
      <c r="E1018" s="4">
        <f>FacDevRevY1*(1+FacDevGrowth)^1016</f>
        <v>2.837318759088E+46</v>
      </c>
      <c r="F1018" s="4">
        <f t="shared" si="60"/>
        <v>8.511956277264E+46</v>
      </c>
      <c r="G1018" s="4">
        <f t="shared" si="61"/>
        <v>8.511956277264E+46</v>
      </c>
      <c r="H1018" s="4">
        <f>SalaryFTECount*SalaryPerFTE*(1+SalaryGrowth)^1016</f>
        <v>4.2470954576356257E+22</v>
      </c>
      <c r="I1018" s="4">
        <f>SimOpsY1*(1+SimOpsGrowth)^1016</f>
        <v>2.7268222526070993E+38</v>
      </c>
      <c r="J1018" s="4">
        <f>TrainDevY1*(1+TrainDevGrowth)^1016</f>
        <v>1.3634111263035497E+38</v>
      </c>
      <c r="K1018" s="4">
        <f>AdminY1*(1+AdminGrowth)^1016</f>
        <v>1.0275172100354355E+30</v>
      </c>
      <c r="L1018" s="4">
        <f t="shared" si="62"/>
        <v>4.0902333891858216E+38</v>
      </c>
      <c r="M1018" s="4">
        <f t="shared" si="63"/>
        <v>8.5119562363616663E+46</v>
      </c>
    </row>
    <row r="1019" spans="1:13" x14ac:dyDescent="0.2">
      <c r="A1019" s="3">
        <f>StartYear+1017</f>
        <v>3042</v>
      </c>
      <c r="B1019" s="4">
        <f>FacultyFTE*HoursPerWeek*WeeksPerYear*RatePerHour*(1+PracticeGrowth)^1017</f>
        <v>1.0207270919462259E+27</v>
      </c>
      <c r="C1019" s="4">
        <f>StudentsY1*(1+StudentGrowth)^1017*CreditsPerStudent*TuitionPerCredit</f>
        <v>6.3795443246639103E+27</v>
      </c>
      <c r="D1019" s="4">
        <f>SimRevY1*(1+SimGrowth)^1017</f>
        <v>6.2421012699936026E+46</v>
      </c>
      <c r="E1019" s="4">
        <f>FacDevRevY1*(1+FacDevGrowth)^1017</f>
        <v>3.1210506349968013E+46</v>
      </c>
      <c r="F1019" s="4">
        <f t="shared" si="60"/>
        <v>9.363151904990404E+46</v>
      </c>
      <c r="G1019" s="4">
        <f t="shared" si="61"/>
        <v>9.363151904990404E+46</v>
      </c>
      <c r="H1019" s="4">
        <f>SalaryFTECount*SalaryPerFTE*(1+SalaryGrowth)^1017</f>
        <v>4.4169792759410538E+22</v>
      </c>
      <c r="I1019" s="4">
        <f>SimOpsY1*(1+SimOpsGrowth)^1017</f>
        <v>2.9449680328156675E+38</v>
      </c>
      <c r="J1019" s="4">
        <f>TrainDevY1*(1+TrainDevGrowth)^1017</f>
        <v>1.4724840164078338E+38</v>
      </c>
      <c r="K1019" s="4">
        <f>AdminY1*(1+AdminGrowth)^1017</f>
        <v>1.0891682426375617E+30</v>
      </c>
      <c r="L1019" s="4">
        <f t="shared" si="62"/>
        <v>4.4174520601151847E+38</v>
      </c>
      <c r="M1019" s="4">
        <f t="shared" si="63"/>
        <v>9.3631518608158838E+46</v>
      </c>
    </row>
    <row r="1020" spans="1:13" x14ac:dyDescent="0.2">
      <c r="A1020" s="3">
        <f>StartYear+1018</f>
        <v>3043</v>
      </c>
      <c r="B1020" s="4">
        <f>FacultyFTE*HoursPerWeek*WeeksPerYear*RatePerHour*(1+PracticeGrowth)^1018</f>
        <v>1.0717634465435371E+27</v>
      </c>
      <c r="C1020" s="4">
        <f>StudentsY1*(1+StudentGrowth)^1018*CreditsPerStudent*TuitionPerCredit</f>
        <v>6.6985215408971069E+27</v>
      </c>
      <c r="D1020" s="4">
        <f>SimRevY1*(1+SimGrowth)^1018</f>
        <v>6.8663113969929633E+46</v>
      </c>
      <c r="E1020" s="4">
        <f>FacDevRevY1*(1+FacDevGrowth)^1018</f>
        <v>3.4331556984964817E+46</v>
      </c>
      <c r="F1020" s="4">
        <f t="shared" si="60"/>
        <v>1.0299467095489445E+47</v>
      </c>
      <c r="G1020" s="4">
        <f t="shared" si="61"/>
        <v>1.0299467095489445E+47</v>
      </c>
      <c r="H1020" s="4">
        <f>SalaryFTECount*SalaryPerFTE*(1+SalaryGrowth)^1018</f>
        <v>4.5936584469786927E+22</v>
      </c>
      <c r="I1020" s="4">
        <f>SimOpsY1*(1+SimOpsGrowth)^1018</f>
        <v>3.1805654754409211E+38</v>
      </c>
      <c r="J1020" s="4">
        <f>TrainDevY1*(1+TrainDevGrowth)^1018</f>
        <v>1.5902827377204605E+38</v>
      </c>
      <c r="K1020" s="4">
        <f>AdminY1*(1+AdminGrowth)^1018</f>
        <v>1.1545183371958157E+30</v>
      </c>
      <c r="L1020" s="4">
        <f t="shared" si="62"/>
        <v>4.7708482247065652E+38</v>
      </c>
      <c r="M1020" s="4">
        <f t="shared" si="63"/>
        <v>1.0299467047780962E+47</v>
      </c>
    </row>
    <row r="1021" spans="1:13" x14ac:dyDescent="0.2">
      <c r="A1021" s="3">
        <f>StartYear+1019</f>
        <v>3044</v>
      </c>
      <c r="B1021" s="4">
        <f>FacultyFTE*HoursPerWeek*WeeksPerYear*RatePerHour*(1+PracticeGrowth)^1019</f>
        <v>1.125351618870714E+27</v>
      </c>
      <c r="C1021" s="4">
        <f>StudentsY1*(1+StudentGrowth)^1019*CreditsPerStudent*TuitionPerCredit</f>
        <v>7.0334476179419628E+27</v>
      </c>
      <c r="D1021" s="4">
        <f>SimRevY1*(1+SimGrowth)^1019</f>
        <v>7.5529425366922603E+46</v>
      </c>
      <c r="E1021" s="4">
        <f>FacDevRevY1*(1+FacDevGrowth)^1019</f>
        <v>3.7764712683461301E+46</v>
      </c>
      <c r="F1021" s="4">
        <f t="shared" si="60"/>
        <v>1.1329413805038391E+47</v>
      </c>
      <c r="G1021" s="4">
        <f t="shared" si="61"/>
        <v>1.1329413805038391E+47</v>
      </c>
      <c r="H1021" s="4">
        <f>SalaryFTECount*SalaryPerFTE*(1+SalaryGrowth)^1019</f>
        <v>4.7774047848578412E+22</v>
      </c>
      <c r="I1021" s="4">
        <f>SimOpsY1*(1+SimOpsGrowth)^1019</f>
        <v>3.4350107134761946E+38</v>
      </c>
      <c r="J1021" s="4">
        <f>TrainDevY1*(1+TrainDevGrowth)^1019</f>
        <v>1.7175053567380973E+38</v>
      </c>
      <c r="K1021" s="4">
        <f>AdminY1*(1+AdminGrowth)^1019</f>
        <v>1.2237894374275647E+30</v>
      </c>
      <c r="L1021" s="4">
        <f t="shared" si="62"/>
        <v>5.1525160824521867E+38</v>
      </c>
      <c r="M1021" s="4">
        <f t="shared" si="63"/>
        <v>1.1329413753513229E+47</v>
      </c>
    </row>
    <row r="1022" spans="1:13" x14ac:dyDescent="0.2">
      <c r="A1022" s="3">
        <f>StartYear+1020</f>
        <v>3045</v>
      </c>
      <c r="B1022" s="4">
        <f>FacultyFTE*HoursPerWeek*WeeksPerYear*RatePerHour*(1+PracticeGrowth)^1020</f>
        <v>1.1816191998142496E+27</v>
      </c>
      <c r="C1022" s="4">
        <f>StudentsY1*(1+StudentGrowth)^1020*CreditsPerStudent*TuitionPerCredit</f>
        <v>7.38511999883906E+27</v>
      </c>
      <c r="D1022" s="4">
        <f>SimRevY1*(1+SimGrowth)^1020</f>
        <v>8.3082367903614866E+46</v>
      </c>
      <c r="E1022" s="4">
        <f>FacDevRevY1*(1+FacDevGrowth)^1020</f>
        <v>4.1541183951807433E+46</v>
      </c>
      <c r="F1022" s="4">
        <f t="shared" si="60"/>
        <v>1.246235518554223E+47</v>
      </c>
      <c r="G1022" s="4">
        <f t="shared" si="61"/>
        <v>1.246235518554223E+47</v>
      </c>
      <c r="H1022" s="4">
        <f>SalaryFTECount*SalaryPerFTE*(1+SalaryGrowth)^1020</f>
        <v>4.968500976252157E+22</v>
      </c>
      <c r="I1022" s="4">
        <f>SimOpsY1*(1+SimOpsGrowth)^1020</f>
        <v>3.7098115705542903E+38</v>
      </c>
      <c r="J1022" s="4">
        <f>TrainDevY1*(1+TrainDevGrowth)^1020</f>
        <v>1.8549057852771452E+38</v>
      </c>
      <c r="K1022" s="4">
        <f>AdminY1*(1+AdminGrowth)^1020</f>
        <v>1.2972168036732184E+30</v>
      </c>
      <c r="L1022" s="4">
        <f t="shared" si="62"/>
        <v>5.5647173688036039E+38</v>
      </c>
      <c r="M1022" s="4">
        <f t="shared" si="63"/>
        <v>1.2462355129895056E+47</v>
      </c>
    </row>
    <row r="1023" spans="1:13" x14ac:dyDescent="0.2">
      <c r="A1023" s="3">
        <f>StartYear+1021</f>
        <v>3046</v>
      </c>
      <c r="B1023" s="4">
        <f>FacultyFTE*HoursPerWeek*WeeksPerYear*RatePerHour*(1+PracticeGrowth)^1021</f>
        <v>1.2407001598049622E+27</v>
      </c>
      <c r="C1023" s="4">
        <f>StudentsY1*(1+StudentGrowth)^1021*CreditsPerStudent*TuitionPerCredit</f>
        <v>7.7543759987810141E+27</v>
      </c>
      <c r="D1023" s="4">
        <f>SimRevY1*(1+SimGrowth)^1021</f>
        <v>9.1390604693976358E+46</v>
      </c>
      <c r="E1023" s="4">
        <f>FacDevRevY1*(1+FacDevGrowth)^1021</f>
        <v>4.5695302346988179E+46</v>
      </c>
      <c r="F1023" s="4">
        <f t="shared" si="60"/>
        <v>1.3708590704096453E+47</v>
      </c>
      <c r="G1023" s="4">
        <f t="shared" si="61"/>
        <v>1.3708590704096453E+47</v>
      </c>
      <c r="H1023" s="4">
        <f>SalaryFTECount*SalaryPerFTE*(1+SalaryGrowth)^1021</f>
        <v>5.1672410153022432E+22</v>
      </c>
      <c r="I1023" s="4">
        <f>SimOpsY1*(1+SimOpsGrowth)^1021</f>
        <v>4.0065964961986334E+38</v>
      </c>
      <c r="J1023" s="4">
        <f>TrainDevY1*(1+TrainDevGrowth)^1021</f>
        <v>2.0032982480993167E+38</v>
      </c>
      <c r="K1023" s="4">
        <f>AdminY1*(1+AdminGrowth)^1021</f>
        <v>1.3750498118936123E+30</v>
      </c>
      <c r="L1023" s="4">
        <f t="shared" si="62"/>
        <v>6.0098947580484492E+38</v>
      </c>
      <c r="M1023" s="4">
        <f t="shared" si="63"/>
        <v>1.3708590643997505E+47</v>
      </c>
    </row>
    <row r="1024" spans="1:13" x14ac:dyDescent="0.2">
      <c r="A1024" s="3">
        <f>StartYear+1022</f>
        <v>3047</v>
      </c>
      <c r="B1024" s="4">
        <f>FacultyFTE*HoursPerWeek*WeeksPerYear*RatePerHour*(1+PracticeGrowth)^1022</f>
        <v>1.3027351677952098E+27</v>
      </c>
      <c r="C1024" s="4">
        <f>StudentsY1*(1+StudentGrowth)^1022*CreditsPerStudent*TuitionPerCredit</f>
        <v>8.1420947987200609E+27</v>
      </c>
      <c r="D1024" s="4">
        <f>SimRevY1*(1+SimGrowth)^1022</f>
        <v>1.0052966516337402E+47</v>
      </c>
      <c r="E1024" s="4">
        <f>FacDevRevY1*(1+FacDevGrowth)^1022</f>
        <v>5.0264832581687012E+46</v>
      </c>
      <c r="F1024" s="4">
        <f t="shared" si="60"/>
        <v>1.5079449774506104E+47</v>
      </c>
      <c r="G1024" s="4">
        <f t="shared" si="61"/>
        <v>1.5079449774506104E+47</v>
      </c>
      <c r="H1024" s="4">
        <f>SalaryFTECount*SalaryPerFTE*(1+SalaryGrowth)^1022</f>
        <v>5.3739306559143311E+22</v>
      </c>
      <c r="I1024" s="4">
        <f>SimOpsY1*(1+SimOpsGrowth)^1022</f>
        <v>4.3271242158945254E+38</v>
      </c>
      <c r="J1024" s="4">
        <f>TrainDevY1*(1+TrainDevGrowth)^1022</f>
        <v>2.1635621079472627E+38</v>
      </c>
      <c r="K1024" s="4">
        <f>AdminY1*(1+AdminGrowth)^1022</f>
        <v>1.4575528006072286E+30</v>
      </c>
      <c r="L1024" s="4">
        <f t="shared" si="62"/>
        <v>6.4906863384173168E+38</v>
      </c>
      <c r="M1024" s="4">
        <f t="shared" si="63"/>
        <v>1.5079449709599241E+47</v>
      </c>
    </row>
    <row r="1025" spans="1:13" x14ac:dyDescent="0.2">
      <c r="A1025" s="3">
        <f>StartYear+1023</f>
        <v>3048</v>
      </c>
      <c r="B1025" s="4">
        <f>FacultyFTE*HoursPerWeek*WeeksPerYear*RatePerHour*(1+PracticeGrowth)^1023</f>
        <v>1.3678719261849709E+27</v>
      </c>
      <c r="C1025" s="4">
        <f>StudentsY1*(1+StudentGrowth)^1023*CreditsPerStudent*TuitionPerCredit</f>
        <v>8.5491995386560688E+27</v>
      </c>
      <c r="D1025" s="4">
        <f>SimRevY1*(1+SimGrowth)^1023</f>
        <v>1.1058263167971141E+47</v>
      </c>
      <c r="E1025" s="4">
        <f>FacDevRevY1*(1+FacDevGrowth)^1023</f>
        <v>5.5291315839855705E+46</v>
      </c>
      <c r="F1025" s="4">
        <f t="shared" si="60"/>
        <v>1.6587394751956711E+47</v>
      </c>
      <c r="G1025" s="4">
        <f t="shared" si="61"/>
        <v>1.6587394751956711E+47</v>
      </c>
      <c r="H1025" s="4">
        <f>SalaryFTECount*SalaryPerFTE*(1+SalaryGrowth)^1023</f>
        <v>5.5888878821509056E+22</v>
      </c>
      <c r="I1025" s="4">
        <f>SimOpsY1*(1+SimOpsGrowth)^1023</f>
        <v>4.6732941531660889E+38</v>
      </c>
      <c r="J1025" s="4">
        <f>TrainDevY1*(1+TrainDevGrowth)^1023</f>
        <v>2.3366470765830444E+38</v>
      </c>
      <c r="K1025" s="4">
        <f>AdminY1*(1+AdminGrowth)^1023</f>
        <v>1.5450059686436629E+30</v>
      </c>
      <c r="L1025" s="4">
        <f t="shared" si="62"/>
        <v>7.0099412451991936E+38</v>
      </c>
      <c r="M1025" s="4">
        <f t="shared" si="63"/>
        <v>1.6587394681857298E+47</v>
      </c>
    </row>
    <row r="1026" spans="1:13" x14ac:dyDescent="0.2">
      <c r="A1026" s="3">
        <f>StartYear+1024</f>
        <v>3049</v>
      </c>
      <c r="B1026" s="4">
        <f>FacultyFTE*HoursPerWeek*WeeksPerYear*RatePerHour*(1+PracticeGrowth)^1024</f>
        <v>1.4362655224942191E+27</v>
      </c>
      <c r="C1026" s="4">
        <f>StudentsY1*(1+StudentGrowth)^1024*CreditsPerStudent*TuitionPerCredit</f>
        <v>8.9766595155888691E+27</v>
      </c>
      <c r="D1026" s="4">
        <f>SimRevY1*(1+SimGrowth)^1024</f>
        <v>1.2164089484768255E+47</v>
      </c>
      <c r="E1026" s="4">
        <f>FacDevRevY1*(1+FacDevGrowth)^1024</f>
        <v>6.0820447423841275E+46</v>
      </c>
      <c r="F1026" s="4">
        <f t="shared" ref="F1026:F1089" si="64">C1026+D1026+E1026</f>
        <v>1.8246134227152383E+47</v>
      </c>
      <c r="G1026" s="4">
        <f t="shared" ref="G1026:G1089" si="65">B1026+F1026</f>
        <v>1.8246134227152383E+47</v>
      </c>
      <c r="H1026" s="4">
        <f>SalaryFTECount*SalaryPerFTE*(1+SalaryGrowth)^1024</f>
        <v>5.8124433974369435E+22</v>
      </c>
      <c r="I1026" s="4">
        <f>SimOpsY1*(1+SimOpsGrowth)^1024</f>
        <v>5.047157685419375E+38</v>
      </c>
      <c r="J1026" s="4">
        <f>TrainDevY1*(1+TrainDevGrowth)^1024</f>
        <v>2.5235788427096875E+38</v>
      </c>
      <c r="K1026" s="4">
        <f>AdminY1*(1+AdminGrowth)^1024</f>
        <v>1.637706326762282E+30</v>
      </c>
      <c r="L1026" s="4">
        <f t="shared" ref="L1026:L1089" si="66">SUM(H1026:K1026)</f>
        <v>7.5707365445061252E+38</v>
      </c>
      <c r="M1026" s="4">
        <f t="shared" ref="M1026:M1089" si="67">G1026-L1026</f>
        <v>1.8246134151445017E+47</v>
      </c>
    </row>
    <row r="1027" spans="1:13" x14ac:dyDescent="0.2">
      <c r="A1027" s="3">
        <f>StartYear+1025</f>
        <v>3050</v>
      </c>
      <c r="B1027" s="4">
        <f>FacultyFTE*HoursPerWeek*WeeksPerYear*RatePerHour*(1+PracticeGrowth)^1025</f>
        <v>1.5080787986189301E+27</v>
      </c>
      <c r="C1027" s="4">
        <f>StudentsY1*(1+StudentGrowth)^1025*CreditsPerStudent*TuitionPerCredit</f>
        <v>9.4254924913683139E+27</v>
      </c>
      <c r="D1027" s="4">
        <f>SimRevY1*(1+SimGrowth)^1025</f>
        <v>1.3380498433245083E+47</v>
      </c>
      <c r="E1027" s="4">
        <f>FacDevRevY1*(1+FacDevGrowth)^1025</f>
        <v>6.6902492166225415E+46</v>
      </c>
      <c r="F1027" s="4">
        <f t="shared" si="64"/>
        <v>2.0070747649867624E+47</v>
      </c>
      <c r="G1027" s="4">
        <f t="shared" si="65"/>
        <v>2.0070747649867624E+47</v>
      </c>
      <c r="H1027" s="4">
        <f>SalaryFTECount*SalaryPerFTE*(1+SalaryGrowth)^1025</f>
        <v>6.0449411333344213E+22</v>
      </c>
      <c r="I1027" s="4">
        <f>SimOpsY1*(1+SimOpsGrowth)^1025</f>
        <v>5.450930300252926E+38</v>
      </c>
      <c r="J1027" s="4">
        <f>TrainDevY1*(1+TrainDevGrowth)^1025</f>
        <v>2.725465150126463E+38</v>
      </c>
      <c r="K1027" s="4">
        <f>AdminY1*(1+AdminGrowth)^1025</f>
        <v>1.7359687063680189E+30</v>
      </c>
      <c r="L1027" s="4">
        <f t="shared" si="66"/>
        <v>8.1763954677390768E+38</v>
      </c>
      <c r="M1027" s="4">
        <f t="shared" si="67"/>
        <v>2.0070747568103669E+47</v>
      </c>
    </row>
    <row r="1028" spans="1:13" x14ac:dyDescent="0.2">
      <c r="A1028" s="3">
        <f>StartYear+1026</f>
        <v>3051</v>
      </c>
      <c r="B1028" s="4">
        <f>FacultyFTE*HoursPerWeek*WeeksPerYear*RatePerHour*(1+PracticeGrowth)^1026</f>
        <v>1.5834827385498766E+27</v>
      </c>
      <c r="C1028" s="4">
        <f>StudentsY1*(1+StudentGrowth)^1026*CreditsPerStudent*TuitionPerCredit</f>
        <v>9.8967671159367296E+27</v>
      </c>
      <c r="D1028" s="4">
        <f>SimRevY1*(1+SimGrowth)^1026</f>
        <v>1.471854827656959E+47</v>
      </c>
      <c r="E1028" s="4">
        <f>FacDevRevY1*(1+FacDevGrowth)^1026</f>
        <v>7.3592741382847948E+46</v>
      </c>
      <c r="F1028" s="4">
        <f t="shared" si="64"/>
        <v>2.2077822414854384E+47</v>
      </c>
      <c r="G1028" s="4">
        <f t="shared" si="65"/>
        <v>2.2077822414854384E+47</v>
      </c>
      <c r="H1028" s="4">
        <f>SalaryFTECount*SalaryPerFTE*(1+SalaryGrowth)^1026</f>
        <v>6.2867387786677988E+22</v>
      </c>
      <c r="I1028" s="4">
        <f>SimOpsY1*(1+SimOpsGrowth)^1026</f>
        <v>5.8870047242731597E+38</v>
      </c>
      <c r="J1028" s="4">
        <f>TrainDevY1*(1+TrainDevGrowth)^1026</f>
        <v>2.9435023621365798E+38</v>
      </c>
      <c r="K1028" s="4">
        <f>AdminY1*(1+AdminGrowth)^1026</f>
        <v>1.8401268287501002E+30</v>
      </c>
      <c r="L1028" s="4">
        <f t="shared" si="66"/>
        <v>8.8305071048110079E+38</v>
      </c>
      <c r="M1028" s="4">
        <f t="shared" si="67"/>
        <v>2.2077822326549312E+47</v>
      </c>
    </row>
    <row r="1029" spans="1:13" x14ac:dyDescent="0.2">
      <c r="A1029" s="3">
        <f>StartYear+1027</f>
        <v>3052</v>
      </c>
      <c r="B1029" s="4">
        <f>FacultyFTE*HoursPerWeek*WeeksPerYear*RatePerHour*(1+PracticeGrowth)^1027</f>
        <v>1.6626568754773708E+27</v>
      </c>
      <c r="C1029" s="4">
        <f>StudentsY1*(1+StudentGrowth)^1027*CreditsPerStudent*TuitionPerCredit</f>
        <v>1.0391605471733567E+28</v>
      </c>
      <c r="D1029" s="4">
        <f>SimRevY1*(1+SimGrowth)^1027</f>
        <v>1.6190403104226551E+47</v>
      </c>
      <c r="E1029" s="4">
        <f>FacDevRevY1*(1+FacDevGrowth)^1027</f>
        <v>8.0952015521132756E+46</v>
      </c>
      <c r="F1029" s="4">
        <f t="shared" si="64"/>
        <v>2.4285604656339828E+47</v>
      </c>
      <c r="G1029" s="4">
        <f t="shared" si="65"/>
        <v>2.4285604656339828E+47</v>
      </c>
      <c r="H1029" s="4">
        <f>SalaryFTECount*SalaryPerFTE*(1+SalaryGrowth)^1027</f>
        <v>6.53820832981451E+22</v>
      </c>
      <c r="I1029" s="4">
        <f>SimOpsY1*(1+SimOpsGrowth)^1027</f>
        <v>6.357965102215012E+38</v>
      </c>
      <c r="J1029" s="4">
        <f>TrainDevY1*(1+TrainDevGrowth)^1027</f>
        <v>3.178982551107506E+38</v>
      </c>
      <c r="K1029" s="4">
        <f>AdminY1*(1+AdminGrowth)^1027</f>
        <v>1.9505344384751065E+30</v>
      </c>
      <c r="L1029" s="4">
        <f t="shared" si="66"/>
        <v>9.5369476728278633E+38</v>
      </c>
      <c r="M1029" s="4">
        <f t="shared" si="67"/>
        <v>2.4285604560970352E+47</v>
      </c>
    </row>
    <row r="1030" spans="1:13" x14ac:dyDescent="0.2">
      <c r="A1030" s="3">
        <f>StartYear+1028</f>
        <v>3053</v>
      </c>
      <c r="B1030" s="4">
        <f>FacultyFTE*HoursPerWeek*WeeksPerYear*RatePerHour*(1+PracticeGrowth)^1028</f>
        <v>1.745789719251239E+27</v>
      </c>
      <c r="C1030" s="4">
        <f>StudentsY1*(1+StudentGrowth)^1028*CreditsPerStudent*TuitionPerCredit</f>
        <v>1.0911185745320243E+28</v>
      </c>
      <c r="D1030" s="4">
        <f>SimRevY1*(1+SimGrowth)^1028</f>
        <v>1.7809443414649208E+47</v>
      </c>
      <c r="E1030" s="4">
        <f>FacDevRevY1*(1+FacDevGrowth)^1028</f>
        <v>8.9047217073246039E+46</v>
      </c>
      <c r="F1030" s="4">
        <f t="shared" si="64"/>
        <v>2.6714165121973813E+47</v>
      </c>
      <c r="G1030" s="4">
        <f t="shared" si="65"/>
        <v>2.6714165121973813E+47</v>
      </c>
      <c r="H1030" s="4">
        <f>SalaryFTECount*SalaryPerFTE*(1+SalaryGrowth)^1028</f>
        <v>6.799736663007092E+22</v>
      </c>
      <c r="I1030" s="4">
        <f>SimOpsY1*(1+SimOpsGrowth)^1028</f>
        <v>6.866602310392215E+38</v>
      </c>
      <c r="J1030" s="4">
        <f>TrainDevY1*(1+TrainDevGrowth)^1028</f>
        <v>3.4333011551961075E+38</v>
      </c>
      <c r="K1030" s="4">
        <f>AdminY1*(1+AdminGrowth)^1028</f>
        <v>2.0675665047836126E+30</v>
      </c>
      <c r="L1030" s="4">
        <f t="shared" si="66"/>
        <v>1.0299903486263987E+39</v>
      </c>
      <c r="M1030" s="4">
        <f t="shared" si="67"/>
        <v>2.671416501897478E+47</v>
      </c>
    </row>
    <row r="1031" spans="1:13" x14ac:dyDescent="0.2">
      <c r="A1031" s="3">
        <f>StartYear+1029</f>
        <v>3054</v>
      </c>
      <c r="B1031" s="4">
        <f>FacultyFTE*HoursPerWeek*WeeksPerYear*RatePerHour*(1+PracticeGrowth)^1029</f>
        <v>1.8330792052138013E+27</v>
      </c>
      <c r="C1031" s="4">
        <f>StudentsY1*(1+StudentGrowth)^1029*CreditsPerStudent*TuitionPerCredit</f>
        <v>1.1456745032586258E+28</v>
      </c>
      <c r="D1031" s="4">
        <f>SimRevY1*(1+SimGrowth)^1029</f>
        <v>1.959038775611413E+47</v>
      </c>
      <c r="E1031" s="4">
        <f>FacDevRevY1*(1+FacDevGrowth)^1029</f>
        <v>9.7951938780570652E+46</v>
      </c>
      <c r="F1031" s="4">
        <f t="shared" si="64"/>
        <v>2.9385581634171194E+47</v>
      </c>
      <c r="G1031" s="4">
        <f t="shared" si="65"/>
        <v>2.9385581634171194E+47</v>
      </c>
      <c r="H1031" s="4">
        <f>SalaryFTECount*SalaryPerFTE*(1+SalaryGrowth)^1029</f>
        <v>7.0717261295273764E+22</v>
      </c>
      <c r="I1031" s="4">
        <f>SimOpsY1*(1+SimOpsGrowth)^1029</f>
        <v>7.4159304952235921E+38</v>
      </c>
      <c r="J1031" s="4">
        <f>TrainDevY1*(1+TrainDevGrowth)^1029</f>
        <v>3.707965247611796E+38</v>
      </c>
      <c r="K1031" s="4">
        <f>AdminY1*(1+AdminGrowth)^1029</f>
        <v>2.19162049507063E+30</v>
      </c>
      <c r="L1031" s="4">
        <f t="shared" si="66"/>
        <v>1.1123895764751592E+39</v>
      </c>
      <c r="M1031" s="4">
        <f t="shared" si="67"/>
        <v>2.9385581522932237E+47</v>
      </c>
    </row>
    <row r="1032" spans="1:13" x14ac:dyDescent="0.2">
      <c r="A1032" s="3">
        <f>StartYear+1030</f>
        <v>3055</v>
      </c>
      <c r="B1032" s="4">
        <f>FacultyFTE*HoursPerWeek*WeeksPerYear*RatePerHour*(1+PracticeGrowth)^1030</f>
        <v>1.9247331654744909E+27</v>
      </c>
      <c r="C1032" s="4">
        <f>StudentsY1*(1+StudentGrowth)^1030*CreditsPerStudent*TuitionPerCredit</f>
        <v>1.2029582284215569E+28</v>
      </c>
      <c r="D1032" s="4">
        <f>SimRevY1*(1+SimGrowth)^1030</f>
        <v>2.1549426531725547E+47</v>
      </c>
      <c r="E1032" s="4">
        <f>FacDevRevY1*(1+FacDevGrowth)^1030</f>
        <v>1.0774713265862774E+47</v>
      </c>
      <c r="F1032" s="4">
        <f t="shared" si="64"/>
        <v>3.2324139797588323E+47</v>
      </c>
      <c r="G1032" s="4">
        <f t="shared" si="65"/>
        <v>3.2324139797588323E+47</v>
      </c>
      <c r="H1032" s="4">
        <f>SalaryFTECount*SalaryPerFTE*(1+SalaryGrowth)^1030</f>
        <v>7.3545951747084716E+22</v>
      </c>
      <c r="I1032" s="4">
        <f>SimOpsY1*(1+SimOpsGrowth)^1030</f>
        <v>8.00920493484148E+38</v>
      </c>
      <c r="J1032" s="4">
        <f>TrainDevY1*(1+TrainDevGrowth)^1030</f>
        <v>4.00460246742074E+38</v>
      </c>
      <c r="K1032" s="4">
        <f>AdminY1*(1+AdminGrowth)^1030</f>
        <v>2.3231177247748677E+30</v>
      </c>
      <c r="L1032" s="4">
        <f t="shared" si="66"/>
        <v>1.2013807425493398E+39</v>
      </c>
      <c r="M1032" s="4">
        <f t="shared" si="67"/>
        <v>3.2324139677450248E+47</v>
      </c>
    </row>
    <row r="1033" spans="1:13" x14ac:dyDescent="0.2">
      <c r="A1033" s="3">
        <f>StartYear+1031</f>
        <v>3056</v>
      </c>
      <c r="B1033" s="4">
        <f>FacultyFTE*HoursPerWeek*WeeksPerYear*RatePerHour*(1+PracticeGrowth)^1031</f>
        <v>2.0209698237482159E+27</v>
      </c>
      <c r="C1033" s="4">
        <f>StudentsY1*(1+StudentGrowth)^1031*CreditsPerStudent*TuitionPerCredit</f>
        <v>1.2631061398426351E+28</v>
      </c>
      <c r="D1033" s="4">
        <f>SimRevY1*(1+SimGrowth)^1031</f>
        <v>2.3704369184898104E+47</v>
      </c>
      <c r="E1033" s="4">
        <f>FacDevRevY1*(1+FacDevGrowth)^1031</f>
        <v>1.1852184592449052E+47</v>
      </c>
      <c r="F1033" s="4">
        <f t="shared" si="64"/>
        <v>3.5556553777347156E+47</v>
      </c>
      <c r="G1033" s="4">
        <f t="shared" si="65"/>
        <v>3.5556553777347156E+47</v>
      </c>
      <c r="H1033" s="4">
        <f>SalaryFTECount*SalaryPerFTE*(1+SalaryGrowth)^1031</f>
        <v>7.6487789816968085E+22</v>
      </c>
      <c r="I1033" s="4">
        <f>SimOpsY1*(1+SimOpsGrowth)^1031</f>
        <v>8.6499413296287982E+38</v>
      </c>
      <c r="J1033" s="4">
        <f>TrainDevY1*(1+TrainDevGrowth)^1031</f>
        <v>4.3249706648143991E+38</v>
      </c>
      <c r="K1033" s="4">
        <f>AdminY1*(1+AdminGrowth)^1031</f>
        <v>2.46250478826136E+30</v>
      </c>
      <c r="L1033" s="4">
        <f t="shared" si="66"/>
        <v>1.2974912019068247E+39</v>
      </c>
      <c r="M1033" s="4">
        <f t="shared" si="67"/>
        <v>3.5556553647598034E+47</v>
      </c>
    </row>
    <row r="1034" spans="1:13" x14ac:dyDescent="0.2">
      <c r="A1034" s="3">
        <f>StartYear+1032</f>
        <v>3057</v>
      </c>
      <c r="B1034" s="4">
        <f>FacultyFTE*HoursPerWeek*WeeksPerYear*RatePerHour*(1+PracticeGrowth)^1032</f>
        <v>2.1220183149356264E+27</v>
      </c>
      <c r="C1034" s="4">
        <f>StudentsY1*(1+StudentGrowth)^1032*CreditsPerStudent*TuitionPerCredit</f>
        <v>1.3262614468347664E+28</v>
      </c>
      <c r="D1034" s="4">
        <f>SimRevY1*(1+SimGrowth)^1032</f>
        <v>2.607480610338791E+47</v>
      </c>
      <c r="E1034" s="4">
        <f>FacDevRevY1*(1+FacDevGrowth)^1032</f>
        <v>1.3037403051693955E+47</v>
      </c>
      <c r="F1034" s="4">
        <f t="shared" si="64"/>
        <v>3.9112209155081863E+47</v>
      </c>
      <c r="G1034" s="4">
        <f t="shared" si="65"/>
        <v>3.9112209155081863E+47</v>
      </c>
      <c r="H1034" s="4">
        <f>SalaryFTECount*SalaryPerFTE*(1+SalaryGrowth)^1032</f>
        <v>7.9547301409646826E+22</v>
      </c>
      <c r="I1034" s="4">
        <f>SimOpsY1*(1+SimOpsGrowth)^1032</f>
        <v>9.3419366359991015E+38</v>
      </c>
      <c r="J1034" s="4">
        <f>TrainDevY1*(1+TrainDevGrowth)^1032</f>
        <v>4.6709683179995507E+38</v>
      </c>
      <c r="K1034" s="4">
        <f>AdminY1*(1+AdminGrowth)^1032</f>
        <v>2.6102550755570414E+30</v>
      </c>
      <c r="L1034" s="4">
        <f t="shared" si="66"/>
        <v>1.4012904980101206E+39</v>
      </c>
      <c r="M1034" s="4">
        <f t="shared" si="67"/>
        <v>3.9112209014952813E+47</v>
      </c>
    </row>
    <row r="1035" spans="1:13" x14ac:dyDescent="0.2">
      <c r="A1035" s="3">
        <f>StartYear+1033</f>
        <v>3058</v>
      </c>
      <c r="B1035" s="4">
        <f>FacultyFTE*HoursPerWeek*WeeksPerYear*RatePerHour*(1+PracticeGrowth)^1033</f>
        <v>2.2281192306824078E+27</v>
      </c>
      <c r="C1035" s="4">
        <f>StudentsY1*(1+StudentGrowth)^1033*CreditsPerStudent*TuitionPerCredit</f>
        <v>1.3925745191765048E+28</v>
      </c>
      <c r="D1035" s="4">
        <f>SimRevY1*(1+SimGrowth)^1033</f>
        <v>2.8682286713726702E+47</v>
      </c>
      <c r="E1035" s="4">
        <f>FacDevRevY1*(1+FacDevGrowth)^1033</f>
        <v>1.4341143356863351E+47</v>
      </c>
      <c r="F1035" s="4">
        <f t="shared" si="64"/>
        <v>4.302343007059005E+47</v>
      </c>
      <c r="G1035" s="4">
        <f t="shared" si="65"/>
        <v>4.302343007059005E+47</v>
      </c>
      <c r="H1035" s="4">
        <f>SalaryFTECount*SalaryPerFTE*(1+SalaryGrowth)^1033</f>
        <v>8.2729193466032713E+22</v>
      </c>
      <c r="I1035" s="4">
        <f>SimOpsY1*(1+SimOpsGrowth)^1033</f>
        <v>1.0089291566879032E+39</v>
      </c>
      <c r="J1035" s="4">
        <f>TrainDevY1*(1+TrainDevGrowth)^1033</f>
        <v>5.0446457834395158E+38</v>
      </c>
      <c r="K1035" s="4">
        <f>AdminY1*(1+AdminGrowth)^1033</f>
        <v>2.7668703800904644E+30</v>
      </c>
      <c r="L1035" s="4">
        <f t="shared" si="66"/>
        <v>1.5133937377987253E+39</v>
      </c>
      <c r="M1035" s="4">
        <f t="shared" si="67"/>
        <v>4.3023429919250676E+47</v>
      </c>
    </row>
    <row r="1036" spans="1:13" x14ac:dyDescent="0.2">
      <c r="A1036" s="3">
        <f>StartYear+1034</f>
        <v>3059</v>
      </c>
      <c r="B1036" s="4">
        <f>FacultyFTE*HoursPerWeek*WeeksPerYear*RatePerHour*(1+PracticeGrowth)^1034</f>
        <v>2.3395251922165283E+27</v>
      </c>
      <c r="C1036" s="4">
        <f>StudentsY1*(1+StudentGrowth)^1034*CreditsPerStudent*TuitionPerCredit</f>
        <v>1.46220324513533E+28</v>
      </c>
      <c r="D1036" s="4">
        <f>SimRevY1*(1+SimGrowth)^1034</f>
        <v>3.1550515385099376E+47</v>
      </c>
      <c r="E1036" s="4">
        <f>FacDevRevY1*(1+FacDevGrowth)^1034</f>
        <v>1.5775257692549688E+47</v>
      </c>
      <c r="F1036" s="4">
        <f t="shared" si="64"/>
        <v>4.7325773077649066E+47</v>
      </c>
      <c r="G1036" s="4">
        <f t="shared" si="65"/>
        <v>4.7325773077649066E+47</v>
      </c>
      <c r="H1036" s="4">
        <f>SalaryFTECount*SalaryPerFTE*(1+SalaryGrowth)^1034</f>
        <v>8.6038361204674024E+22</v>
      </c>
      <c r="I1036" s="4">
        <f>SimOpsY1*(1+SimOpsGrowth)^1034</f>
        <v>1.0896434892229354E+39</v>
      </c>
      <c r="J1036" s="4">
        <f>TrainDevY1*(1+TrainDevGrowth)^1034</f>
        <v>5.4482174461146771E+38</v>
      </c>
      <c r="K1036" s="4">
        <f>AdminY1*(1+AdminGrowth)^1034</f>
        <v>2.9328826028958922E+30</v>
      </c>
      <c r="L1036" s="4">
        <f t="shared" si="66"/>
        <v>1.6344652367672859E+39</v>
      </c>
      <c r="M1036" s="4">
        <f t="shared" si="67"/>
        <v>4.7325772914202546E+47</v>
      </c>
    </row>
    <row r="1037" spans="1:13" x14ac:dyDescent="0.2">
      <c r="A1037" s="3">
        <f>StartYear+1035</f>
        <v>3060</v>
      </c>
      <c r="B1037" s="4">
        <f>FacultyFTE*HoursPerWeek*WeeksPerYear*RatePerHour*(1+PracticeGrowth)^1035</f>
        <v>2.4565014518273547E+27</v>
      </c>
      <c r="C1037" s="4">
        <f>StudentsY1*(1+StudentGrowth)^1035*CreditsPerStudent*TuitionPerCredit</f>
        <v>1.5353134073920968E+28</v>
      </c>
      <c r="D1037" s="4">
        <f>SimRevY1*(1+SimGrowth)^1035</f>
        <v>3.470556692360932E+47</v>
      </c>
      <c r="E1037" s="4">
        <f>FacDevRevY1*(1+FacDevGrowth)^1035</f>
        <v>1.735278346180466E+47</v>
      </c>
      <c r="F1037" s="4">
        <f t="shared" si="64"/>
        <v>5.2058350385413985E+47</v>
      </c>
      <c r="G1037" s="4">
        <f t="shared" si="65"/>
        <v>5.2058350385413985E+47</v>
      </c>
      <c r="H1037" s="4">
        <f>SalaryFTECount*SalaryPerFTE*(1+SalaryGrowth)^1035</f>
        <v>8.9479895652860971E+22</v>
      </c>
      <c r="I1037" s="4">
        <f>SimOpsY1*(1+SimOpsGrowth)^1035</f>
        <v>1.1768149683607703E+39</v>
      </c>
      <c r="J1037" s="4">
        <f>TrainDevY1*(1+TrainDevGrowth)^1035</f>
        <v>5.8840748418038516E+38</v>
      </c>
      <c r="K1037" s="4">
        <f>AdminY1*(1+AdminGrowth)^1035</f>
        <v>3.1088555590696465E+30</v>
      </c>
      <c r="L1037" s="4">
        <f t="shared" si="66"/>
        <v>1.7652224556500112E+39</v>
      </c>
      <c r="M1037" s="4">
        <f t="shared" si="67"/>
        <v>5.2058350208891736E+47</v>
      </c>
    </row>
    <row r="1038" spans="1:13" x14ac:dyDescent="0.2">
      <c r="A1038" s="3">
        <f>StartYear+1036</f>
        <v>3061</v>
      </c>
      <c r="B1038" s="4">
        <f>FacultyFTE*HoursPerWeek*WeeksPerYear*RatePerHour*(1+PracticeGrowth)^1036</f>
        <v>2.5793265244187219E+27</v>
      </c>
      <c r="C1038" s="4">
        <f>StudentsY1*(1+StudentGrowth)^1036*CreditsPerStudent*TuitionPerCredit</f>
        <v>1.6120790777617014E+28</v>
      </c>
      <c r="D1038" s="4">
        <f>SimRevY1*(1+SimGrowth)^1036</f>
        <v>3.8176123615970252E+47</v>
      </c>
      <c r="E1038" s="4">
        <f>FacDevRevY1*(1+FacDevGrowth)^1036</f>
        <v>1.9088061807985126E+47</v>
      </c>
      <c r="F1038" s="4">
        <f t="shared" si="64"/>
        <v>5.7264185423955382E+47</v>
      </c>
      <c r="G1038" s="4">
        <f t="shared" si="65"/>
        <v>5.7264185423955382E+47</v>
      </c>
      <c r="H1038" s="4">
        <f>SalaryFTECount*SalaryPerFTE*(1+SalaryGrowth)^1036</f>
        <v>9.3059091478975428E+22</v>
      </c>
      <c r="I1038" s="4">
        <f>SimOpsY1*(1+SimOpsGrowth)^1036</f>
        <v>1.2709601658296321E+39</v>
      </c>
      <c r="J1038" s="4">
        <f>TrainDevY1*(1+TrainDevGrowth)^1036</f>
        <v>6.3548008291481607E+38</v>
      </c>
      <c r="K1038" s="4">
        <f>AdminY1*(1+AdminGrowth)^1036</f>
        <v>3.2953868926138251E+30</v>
      </c>
      <c r="L1038" s="4">
        <f t="shared" si="66"/>
        <v>1.9064402520398354E+39</v>
      </c>
      <c r="M1038" s="4">
        <f t="shared" si="67"/>
        <v>5.7264185233311359E+47</v>
      </c>
    </row>
    <row r="1039" spans="1:13" x14ac:dyDescent="0.2">
      <c r="A1039" s="3">
        <f>StartYear+1037</f>
        <v>3062</v>
      </c>
      <c r="B1039" s="4">
        <f>FacultyFTE*HoursPerWeek*WeeksPerYear*RatePerHour*(1+PracticeGrowth)^1037</f>
        <v>2.7082928506396586E+27</v>
      </c>
      <c r="C1039" s="4">
        <f>StudentsY1*(1+StudentGrowth)^1037*CreditsPerStudent*TuitionPerCredit</f>
        <v>1.6926830316497867E+28</v>
      </c>
      <c r="D1039" s="4">
        <f>SimRevY1*(1+SimGrowth)^1037</f>
        <v>4.1993735977567274E+47</v>
      </c>
      <c r="E1039" s="4">
        <f>FacDevRevY1*(1+FacDevGrowth)^1037</f>
        <v>2.0996867988783637E+47</v>
      </c>
      <c r="F1039" s="4">
        <f t="shared" si="64"/>
        <v>6.2990603966350912E+47</v>
      </c>
      <c r="G1039" s="4">
        <f t="shared" si="65"/>
        <v>6.2990603966350912E+47</v>
      </c>
      <c r="H1039" s="4">
        <f>SalaryFTECount*SalaryPerFTE*(1+SalaryGrowth)^1037</f>
        <v>9.6781455138134438E+22</v>
      </c>
      <c r="I1039" s="4">
        <f>SimOpsY1*(1+SimOpsGrowth)^1037</f>
        <v>1.3726369790960024E+39</v>
      </c>
      <c r="J1039" s="4">
        <f>TrainDevY1*(1+TrainDevGrowth)^1037</f>
        <v>6.8631848954800122E+38</v>
      </c>
      <c r="K1039" s="4">
        <f>AdminY1*(1+AdminGrowth)^1037</f>
        <v>3.4931101061706544E+30</v>
      </c>
      <c r="L1039" s="4">
        <f t="shared" si="66"/>
        <v>2.0589554721371137E+39</v>
      </c>
      <c r="M1039" s="4">
        <f t="shared" si="67"/>
        <v>6.2990603760455361E+47</v>
      </c>
    </row>
    <row r="1040" spans="1:13" x14ac:dyDescent="0.2">
      <c r="A1040" s="3">
        <f>StartYear+1038</f>
        <v>3063</v>
      </c>
      <c r="B1040" s="4">
        <f>FacultyFTE*HoursPerWeek*WeeksPerYear*RatePerHour*(1+PracticeGrowth)^1038</f>
        <v>2.843707493171641E+27</v>
      </c>
      <c r="C1040" s="4">
        <f>StudentsY1*(1+StudentGrowth)^1038*CreditsPerStudent*TuitionPerCredit</f>
        <v>1.7773171832322757E+28</v>
      </c>
      <c r="D1040" s="4">
        <f>SimRevY1*(1+SimGrowth)^1038</f>
        <v>4.619310957532402E+47</v>
      </c>
      <c r="E1040" s="4">
        <f>FacDevRevY1*(1+FacDevGrowth)^1038</f>
        <v>2.309655478766201E+47</v>
      </c>
      <c r="F1040" s="4">
        <f t="shared" si="64"/>
        <v>6.928966436298603E+47</v>
      </c>
      <c r="G1040" s="4">
        <f t="shared" si="65"/>
        <v>6.928966436298603E+47</v>
      </c>
      <c r="H1040" s="4">
        <f>SalaryFTECount*SalaryPerFTE*(1+SalaryGrowth)^1038</f>
        <v>1.0065271334365983E+23</v>
      </c>
      <c r="I1040" s="4">
        <f>SimOpsY1*(1+SimOpsGrowth)^1038</f>
        <v>1.4824479374236829E+39</v>
      </c>
      <c r="J1040" s="4">
        <f>TrainDevY1*(1+TrainDevGrowth)^1038</f>
        <v>7.4122396871184147E+38</v>
      </c>
      <c r="K1040" s="4">
        <f>AdminY1*(1+AdminGrowth)^1038</f>
        <v>3.7026967125408944E+30</v>
      </c>
      <c r="L1040" s="4">
        <f t="shared" si="66"/>
        <v>2.2236719098382212E+39</v>
      </c>
      <c r="M1040" s="4">
        <f t="shared" si="67"/>
        <v>6.9289664140618842E+47</v>
      </c>
    </row>
    <row r="1041" spans="1:13" x14ac:dyDescent="0.2">
      <c r="A1041" s="3">
        <f>StartYear+1039</f>
        <v>3064</v>
      </c>
      <c r="B1041" s="4">
        <f>FacultyFTE*HoursPerWeek*WeeksPerYear*RatePerHour*(1+PracticeGrowth)^1039</f>
        <v>2.985892867830224E+27</v>
      </c>
      <c r="C1041" s="4">
        <f>StudentsY1*(1+StudentGrowth)^1039*CreditsPerStudent*TuitionPerCredit</f>
        <v>1.8661830423938901E+28</v>
      </c>
      <c r="D1041" s="4">
        <f>SimRevY1*(1+SimGrowth)^1039</f>
        <v>5.0812420532856417E+47</v>
      </c>
      <c r="E1041" s="4">
        <f>FacDevRevY1*(1+FacDevGrowth)^1039</f>
        <v>2.5406210266428208E+47</v>
      </c>
      <c r="F1041" s="4">
        <f t="shared" si="64"/>
        <v>7.6218630799284625E+47</v>
      </c>
      <c r="G1041" s="4">
        <f t="shared" si="65"/>
        <v>7.6218630799284625E+47</v>
      </c>
      <c r="H1041" s="4">
        <f>SalaryFTECount*SalaryPerFTE*(1+SalaryGrowth)^1039</f>
        <v>1.0467882187740621E+23</v>
      </c>
      <c r="I1041" s="4">
        <f>SimOpsY1*(1+SimOpsGrowth)^1039</f>
        <v>1.6010437724175778E+39</v>
      </c>
      <c r="J1041" s="4">
        <f>TrainDevY1*(1+TrainDevGrowth)^1039</f>
        <v>8.0052188620878891E+38</v>
      </c>
      <c r="K1041" s="4">
        <f>AdminY1*(1+AdminGrowth)^1039</f>
        <v>3.924858515293349E+30</v>
      </c>
      <c r="L1041" s="4">
        <f t="shared" si="66"/>
        <v>2.4015656625512252E+39</v>
      </c>
      <c r="M1041" s="4">
        <f t="shared" si="67"/>
        <v>7.6218630559128061E+47</v>
      </c>
    </row>
    <row r="1042" spans="1:13" x14ac:dyDescent="0.2">
      <c r="A1042" s="3">
        <f>StartYear+1040</f>
        <v>3065</v>
      </c>
      <c r="B1042" s="4">
        <f>FacultyFTE*HoursPerWeek*WeeksPerYear*RatePerHour*(1+PracticeGrowth)^1040</f>
        <v>3.135187511221735E+27</v>
      </c>
      <c r="C1042" s="4">
        <f>StudentsY1*(1+StudentGrowth)^1040*CreditsPerStudent*TuitionPerCredit</f>
        <v>1.9594921945135847E+28</v>
      </c>
      <c r="D1042" s="4">
        <f>SimRevY1*(1+SimGrowth)^1040</f>
        <v>5.5893662586142058E+47</v>
      </c>
      <c r="E1042" s="4">
        <f>FacDevRevY1*(1+FacDevGrowth)^1040</f>
        <v>2.7946831293071029E+47</v>
      </c>
      <c r="F1042" s="4">
        <f t="shared" si="64"/>
        <v>8.3840493879213088E+47</v>
      </c>
      <c r="G1042" s="4">
        <f t="shared" si="65"/>
        <v>8.3840493879213088E+47</v>
      </c>
      <c r="H1042" s="4">
        <f>SalaryFTECount*SalaryPerFTE*(1+SalaryGrowth)^1040</f>
        <v>1.0886597475250249E+23</v>
      </c>
      <c r="I1042" s="4">
        <f>SimOpsY1*(1+SimOpsGrowth)^1040</f>
        <v>1.7291272742109839E+39</v>
      </c>
      <c r="J1042" s="4">
        <f>TrainDevY1*(1+TrainDevGrowth)^1040</f>
        <v>8.6456363710549197E+38</v>
      </c>
      <c r="K1042" s="4">
        <f>AdminY1*(1+AdminGrowth)^1040</f>
        <v>4.1603500262109493E+30</v>
      </c>
      <c r="L1042" s="4">
        <f t="shared" si="66"/>
        <v>2.5936909154768259E+39</v>
      </c>
      <c r="M1042" s="4">
        <f t="shared" si="67"/>
        <v>8.3840493619844003E+47</v>
      </c>
    </row>
    <row r="1043" spans="1:13" x14ac:dyDescent="0.2">
      <c r="A1043" s="3">
        <f>StartYear+1041</f>
        <v>3066</v>
      </c>
      <c r="B1043" s="4">
        <f>FacultyFTE*HoursPerWeek*WeeksPerYear*RatePerHour*(1+PracticeGrowth)^1041</f>
        <v>3.2919468867828223E+27</v>
      </c>
      <c r="C1043" s="4">
        <f>StudentsY1*(1+StudentGrowth)^1041*CreditsPerStudent*TuitionPerCredit</f>
        <v>2.0574668042392641E+28</v>
      </c>
      <c r="D1043" s="4">
        <f>SimRevY1*(1+SimGrowth)^1041</f>
        <v>6.1483028844756264E+47</v>
      </c>
      <c r="E1043" s="4">
        <f>FacDevRevY1*(1+FacDevGrowth)^1041</f>
        <v>3.0741514422378132E+47</v>
      </c>
      <c r="F1043" s="4">
        <f t="shared" si="64"/>
        <v>9.2224543267134397E+47</v>
      </c>
      <c r="G1043" s="4">
        <f t="shared" si="65"/>
        <v>9.2224543267134397E+47</v>
      </c>
      <c r="H1043" s="4">
        <f>SalaryFTECount*SalaryPerFTE*(1+SalaryGrowth)^1041</f>
        <v>1.1322061374260258E+23</v>
      </c>
      <c r="I1043" s="4">
        <f>SimOpsY1*(1+SimOpsGrowth)^1041</f>
        <v>1.8674574561478628E+39</v>
      </c>
      <c r="J1043" s="4">
        <f>TrainDevY1*(1+TrainDevGrowth)^1041</f>
        <v>9.3372872807393142E+38</v>
      </c>
      <c r="K1043" s="4">
        <f>AdminY1*(1+AdminGrowth)^1041</f>
        <v>4.4099710277836057E+30</v>
      </c>
      <c r="L1043" s="4">
        <f t="shared" si="66"/>
        <v>2.8011861886317652E+39</v>
      </c>
      <c r="M1043" s="4">
        <f t="shared" si="67"/>
        <v>9.2224542987015774E+47</v>
      </c>
    </row>
    <row r="1044" spans="1:13" x14ac:dyDescent="0.2">
      <c r="A1044" s="3">
        <f>StartYear+1042</f>
        <v>3067</v>
      </c>
      <c r="B1044" s="4">
        <f>FacultyFTE*HoursPerWeek*WeeksPerYear*RatePerHour*(1+PracticeGrowth)^1042</f>
        <v>3.4565442311219632E+27</v>
      </c>
      <c r="C1044" s="4">
        <f>StudentsY1*(1+StudentGrowth)^1042*CreditsPerStudent*TuitionPerCredit</f>
        <v>2.1603401444512268E+28</v>
      </c>
      <c r="D1044" s="4">
        <f>SimRevY1*(1+SimGrowth)^1042</f>
        <v>6.7631331729231902E+47</v>
      </c>
      <c r="E1044" s="4">
        <f>FacDevRevY1*(1+FacDevGrowth)^1042</f>
        <v>3.3815665864615951E+47</v>
      </c>
      <c r="F1044" s="4">
        <f t="shared" si="64"/>
        <v>1.0144699759384785E+48</v>
      </c>
      <c r="G1044" s="4">
        <f t="shared" si="65"/>
        <v>1.0144699759384785E+48</v>
      </c>
      <c r="H1044" s="4">
        <f>SalaryFTECount*SalaryPerFTE*(1+SalaryGrowth)^1042</f>
        <v>1.1774943829230671E+23</v>
      </c>
      <c r="I1044" s="4">
        <f>SimOpsY1*(1+SimOpsGrowth)^1042</f>
        <v>2.016854052639692E+39</v>
      </c>
      <c r="J1044" s="4">
        <f>TrainDevY1*(1+TrainDevGrowth)^1042</f>
        <v>1.008427026319846E+39</v>
      </c>
      <c r="K1044" s="4">
        <f>AdminY1*(1+AdminGrowth)^1042</f>
        <v>4.6745692894506229E+30</v>
      </c>
      <c r="L1044" s="4">
        <f t="shared" si="66"/>
        <v>3.025281083634107E+39</v>
      </c>
      <c r="M1044" s="4">
        <f t="shared" si="67"/>
        <v>1.0144699729131974E+48</v>
      </c>
    </row>
    <row r="1045" spans="1:13" x14ac:dyDescent="0.2">
      <c r="A1045" s="3">
        <f>StartYear+1043</f>
        <v>3068</v>
      </c>
      <c r="B1045" s="4">
        <f>FacultyFTE*HoursPerWeek*WeeksPerYear*RatePerHour*(1+PracticeGrowth)^1043</f>
        <v>3.6293714426780617E+27</v>
      </c>
      <c r="C1045" s="4">
        <f>StudentsY1*(1+StudentGrowth)^1043*CreditsPerStudent*TuitionPerCredit</f>
        <v>2.2683571516737885E+28</v>
      </c>
      <c r="D1045" s="4">
        <f>SimRevY1*(1+SimGrowth)^1043</f>
        <v>7.4394464902155105E+47</v>
      </c>
      <c r="E1045" s="4">
        <f>FacDevRevY1*(1+FacDevGrowth)^1043</f>
        <v>3.7197232451077552E+47</v>
      </c>
      <c r="F1045" s="4">
        <f t="shared" si="64"/>
        <v>1.1159169735323266E+48</v>
      </c>
      <c r="G1045" s="4">
        <f t="shared" si="65"/>
        <v>1.1159169735323266E+48</v>
      </c>
      <c r="H1045" s="4">
        <f>SalaryFTECount*SalaryPerFTE*(1+SalaryGrowth)^1043</f>
        <v>1.2245941582399897E+23</v>
      </c>
      <c r="I1045" s="4">
        <f>SimOpsY1*(1+SimOpsGrowth)^1043</f>
        <v>2.1782023768508673E+39</v>
      </c>
      <c r="J1045" s="4">
        <f>TrainDevY1*(1+TrainDevGrowth)^1043</f>
        <v>1.0891011884254337E+39</v>
      </c>
      <c r="K1045" s="4">
        <f>AdminY1*(1+AdminGrowth)^1043</f>
        <v>4.9550434468176608E+30</v>
      </c>
      <c r="L1045" s="4">
        <f t="shared" si="66"/>
        <v>3.2673035702313447E+39</v>
      </c>
      <c r="M1045" s="4">
        <f t="shared" si="67"/>
        <v>1.115916970265023E+48</v>
      </c>
    </row>
    <row r="1046" spans="1:13" x14ac:dyDescent="0.2">
      <c r="A1046" s="3">
        <f>StartYear+1044</f>
        <v>3069</v>
      </c>
      <c r="B1046" s="4">
        <f>FacultyFTE*HoursPerWeek*WeeksPerYear*RatePerHour*(1+PracticeGrowth)^1044</f>
        <v>3.8108400148119644E+27</v>
      </c>
      <c r="C1046" s="4">
        <f>StudentsY1*(1+StudentGrowth)^1044*CreditsPerStudent*TuitionPerCredit</f>
        <v>2.3817750092574778E+28</v>
      </c>
      <c r="D1046" s="4">
        <f>SimRevY1*(1+SimGrowth)^1044</f>
        <v>8.1833911392370608E+47</v>
      </c>
      <c r="E1046" s="4">
        <f>FacDevRevY1*(1+FacDevGrowth)^1044</f>
        <v>4.0916955696185304E+47</v>
      </c>
      <c r="F1046" s="4">
        <f t="shared" si="64"/>
        <v>1.2275086708855591E+48</v>
      </c>
      <c r="G1046" s="4">
        <f t="shared" si="65"/>
        <v>1.2275086708855591E+48</v>
      </c>
      <c r="H1046" s="4">
        <f>SalaryFTECount*SalaryPerFTE*(1+SalaryGrowth)^1044</f>
        <v>1.2735779245695892E+23</v>
      </c>
      <c r="I1046" s="4">
        <f>SimOpsY1*(1+SimOpsGrowth)^1044</f>
        <v>2.3524585669989365E+39</v>
      </c>
      <c r="J1046" s="4">
        <f>TrainDevY1*(1+TrainDevGrowth)^1044</f>
        <v>1.1762292834994683E+39</v>
      </c>
      <c r="K1046" s="4">
        <f>AdminY1*(1+AdminGrowth)^1044</f>
        <v>5.2523460536267196E+30</v>
      </c>
      <c r="L1046" s="4">
        <f t="shared" si="66"/>
        <v>3.528687855750751E+39</v>
      </c>
      <c r="M1046" s="4">
        <f t="shared" si="67"/>
        <v>1.2275086673568713E+48</v>
      </c>
    </row>
    <row r="1047" spans="1:13" x14ac:dyDescent="0.2">
      <c r="A1047" s="3">
        <f>StartYear+1045</f>
        <v>3070</v>
      </c>
      <c r="B1047" s="4">
        <f>FacultyFTE*HoursPerWeek*WeeksPerYear*RatePerHour*(1+PracticeGrowth)^1045</f>
        <v>4.0013820155525627E+27</v>
      </c>
      <c r="C1047" s="4">
        <f>StudentsY1*(1+StudentGrowth)^1045*CreditsPerStudent*TuitionPerCredit</f>
        <v>2.500863759720352E+28</v>
      </c>
      <c r="D1047" s="4">
        <f>SimRevY1*(1+SimGrowth)^1045</f>
        <v>9.0017302531607676E+47</v>
      </c>
      <c r="E1047" s="4">
        <f>FacDevRevY1*(1+FacDevGrowth)^1045</f>
        <v>4.5008651265803838E+47</v>
      </c>
      <c r="F1047" s="4">
        <f t="shared" si="64"/>
        <v>1.3502595379741152E+48</v>
      </c>
      <c r="G1047" s="4">
        <f t="shared" si="65"/>
        <v>1.3502595379741152E+48</v>
      </c>
      <c r="H1047" s="4">
        <f>SalaryFTECount*SalaryPerFTE*(1+SalaryGrowth)^1045</f>
        <v>1.3245210415523732E+23</v>
      </c>
      <c r="I1047" s="4">
        <f>SimOpsY1*(1+SimOpsGrowth)^1045</f>
        <v>2.5406552523588516E+39</v>
      </c>
      <c r="J1047" s="4">
        <f>TrainDevY1*(1+TrainDevGrowth)^1045</f>
        <v>1.2703276261794258E+39</v>
      </c>
      <c r="K1047" s="4">
        <f>AdminY1*(1+AdminGrowth)^1045</f>
        <v>5.5674868168443237E+30</v>
      </c>
      <c r="L1047" s="4">
        <f t="shared" si="66"/>
        <v>3.8109828841057641E+39</v>
      </c>
      <c r="M1047" s="4">
        <f t="shared" si="67"/>
        <v>1.3502595341631324E+48</v>
      </c>
    </row>
    <row r="1048" spans="1:13" x14ac:dyDescent="0.2">
      <c r="A1048" s="3">
        <f>StartYear+1046</f>
        <v>3071</v>
      </c>
      <c r="B1048" s="4">
        <f>FacultyFTE*HoursPerWeek*WeeksPerYear*RatePerHour*(1+PracticeGrowth)^1046</f>
        <v>4.2014511163301899E+27</v>
      </c>
      <c r="C1048" s="4">
        <f>StudentsY1*(1+StudentGrowth)^1046*CreditsPerStudent*TuitionPerCredit</f>
        <v>2.6259069477063686E+28</v>
      </c>
      <c r="D1048" s="4">
        <f>SimRevY1*(1+SimGrowth)^1046</f>
        <v>9.9019032784768458E+47</v>
      </c>
      <c r="E1048" s="4">
        <f>FacDevRevY1*(1+FacDevGrowth)^1046</f>
        <v>4.9509516392384229E+47</v>
      </c>
      <c r="F1048" s="4">
        <f t="shared" si="64"/>
        <v>1.4852854917715269E+48</v>
      </c>
      <c r="G1048" s="4">
        <f t="shared" si="65"/>
        <v>1.4852854917715269E+48</v>
      </c>
      <c r="H1048" s="4">
        <f>SalaryFTECount*SalaryPerFTE*(1+SalaryGrowth)^1046</f>
        <v>1.3775018832144681E+23</v>
      </c>
      <c r="I1048" s="4">
        <f>SimOpsY1*(1+SimOpsGrowth)^1046</f>
        <v>2.7439076725475604E+39</v>
      </c>
      <c r="J1048" s="4">
        <f>TrainDevY1*(1+TrainDevGrowth)^1046</f>
        <v>1.3719538362737802E+39</v>
      </c>
      <c r="K1048" s="4">
        <f>AdminY1*(1+AdminGrowth)^1046</f>
        <v>5.9015360258549839E+30</v>
      </c>
      <c r="L1048" s="4">
        <f t="shared" si="66"/>
        <v>4.1158615147228761E+39</v>
      </c>
      <c r="M1048" s="4">
        <f t="shared" si="67"/>
        <v>1.4852854876556652E+48</v>
      </c>
    </row>
    <row r="1049" spans="1:13" x14ac:dyDescent="0.2">
      <c r="A1049" s="3">
        <f>StartYear+1047</f>
        <v>3072</v>
      </c>
      <c r="B1049" s="4">
        <f>FacultyFTE*HoursPerWeek*WeeksPerYear*RatePerHour*(1+PracticeGrowth)^1047</f>
        <v>4.4115236721467009E+27</v>
      </c>
      <c r="C1049" s="4">
        <f>StudentsY1*(1+StudentGrowth)^1047*CreditsPerStudent*TuitionPerCredit</f>
        <v>2.7572022950916879E+28</v>
      </c>
      <c r="D1049" s="4">
        <f>SimRevY1*(1+SimGrowth)^1047</f>
        <v>1.0892093606324531E+48</v>
      </c>
      <c r="E1049" s="4">
        <f>FacDevRevY1*(1+FacDevGrowth)^1047</f>
        <v>5.4460468031622657E+47</v>
      </c>
      <c r="F1049" s="4">
        <f t="shared" si="64"/>
        <v>1.6338140409486796E+48</v>
      </c>
      <c r="G1049" s="4">
        <f t="shared" si="65"/>
        <v>1.6338140409486796E+48</v>
      </c>
      <c r="H1049" s="4">
        <f>SalaryFTECount*SalaryPerFTE*(1+SalaryGrowth)^1047</f>
        <v>1.4326019585430464E+23</v>
      </c>
      <c r="I1049" s="4">
        <f>SimOpsY1*(1+SimOpsGrowth)^1047</f>
        <v>2.9634202863513653E+39</v>
      </c>
      <c r="J1049" s="4">
        <f>TrainDevY1*(1+TrainDevGrowth)^1047</f>
        <v>1.4817101431756826E+39</v>
      </c>
      <c r="K1049" s="4">
        <f>AdminY1*(1+AdminGrowth)^1047</f>
        <v>6.2556281874062838E+30</v>
      </c>
      <c r="L1049" s="4">
        <f t="shared" si="66"/>
        <v>4.4451304357826763E+39</v>
      </c>
      <c r="M1049" s="4">
        <f t="shared" si="67"/>
        <v>1.6338140365035491E+48</v>
      </c>
    </row>
    <row r="1050" spans="1:13" x14ac:dyDescent="0.2">
      <c r="A1050" s="3">
        <f>StartYear+1048</f>
        <v>3073</v>
      </c>
      <c r="B1050" s="4">
        <f>FacultyFTE*HoursPerWeek*WeeksPerYear*RatePerHour*(1+PracticeGrowth)^1048</f>
        <v>4.632099855754035E+27</v>
      </c>
      <c r="C1050" s="4">
        <f>StudentsY1*(1+StudentGrowth)^1048*CreditsPerStudent*TuitionPerCredit</f>
        <v>2.8950624098462715E+28</v>
      </c>
      <c r="D1050" s="4">
        <f>SimRevY1*(1+SimGrowth)^1048</f>
        <v>1.1981302966956984E+48</v>
      </c>
      <c r="E1050" s="4">
        <f>FacDevRevY1*(1+FacDevGrowth)^1048</f>
        <v>5.9906514834784918E+47</v>
      </c>
      <c r="F1050" s="4">
        <f t="shared" si="64"/>
        <v>1.7971954450435476E+48</v>
      </c>
      <c r="G1050" s="4">
        <f t="shared" si="65"/>
        <v>1.7971954450435476E+48</v>
      </c>
      <c r="H1050" s="4">
        <f>SalaryFTECount*SalaryPerFTE*(1+SalaryGrowth)^1048</f>
        <v>1.4899060368847687E+23</v>
      </c>
      <c r="I1050" s="4">
        <f>SimOpsY1*(1+SimOpsGrowth)^1048</f>
        <v>3.2004939092594748E+39</v>
      </c>
      <c r="J1050" s="4">
        <f>TrainDevY1*(1+TrainDevGrowth)^1048</f>
        <v>1.6002469546297374E+39</v>
      </c>
      <c r="K1050" s="4">
        <f>AdminY1*(1+AdminGrowth)^1048</f>
        <v>6.6309658786506605E+30</v>
      </c>
      <c r="L1050" s="4">
        <f t="shared" si="66"/>
        <v>4.8007408705201784E+39</v>
      </c>
      <c r="M1050" s="4">
        <f t="shared" si="67"/>
        <v>1.7971954402428067E+48</v>
      </c>
    </row>
    <row r="1051" spans="1:13" x14ac:dyDescent="0.2">
      <c r="A1051" s="3">
        <f>StartYear+1049</f>
        <v>3074</v>
      </c>
      <c r="B1051" s="4">
        <f>FacultyFTE*HoursPerWeek*WeeksPerYear*RatePerHour*(1+PracticeGrowth)^1049</f>
        <v>4.8637048485417368E+27</v>
      </c>
      <c r="C1051" s="4">
        <f>StudentsY1*(1+StudentGrowth)^1049*CreditsPerStudent*TuitionPerCredit</f>
        <v>3.0398155303385856E+28</v>
      </c>
      <c r="D1051" s="4">
        <f>SimRevY1*(1+SimGrowth)^1049</f>
        <v>1.3179433263652684E+48</v>
      </c>
      <c r="E1051" s="4">
        <f>FacDevRevY1*(1+FacDevGrowth)^1049</f>
        <v>6.589716631826342E+47</v>
      </c>
      <c r="F1051" s="4">
        <f t="shared" si="64"/>
        <v>1.9769149895479026E+48</v>
      </c>
      <c r="G1051" s="4">
        <f t="shared" si="65"/>
        <v>1.9769149895479026E+48</v>
      </c>
      <c r="H1051" s="4">
        <f>SalaryFTECount*SalaryPerFTE*(1+SalaryGrowth)^1049</f>
        <v>1.5495022783601597E+23</v>
      </c>
      <c r="I1051" s="4">
        <f>SimOpsY1*(1+SimOpsGrowth)^1049</f>
        <v>3.4565334220002328E+39</v>
      </c>
      <c r="J1051" s="4">
        <f>TrainDevY1*(1+TrainDevGrowth)^1049</f>
        <v>1.7282667110001164E+39</v>
      </c>
      <c r="K1051" s="4">
        <f>AdminY1*(1+AdminGrowth)^1049</f>
        <v>7.0288238313696992E+30</v>
      </c>
      <c r="L1051" s="4">
        <f t="shared" si="66"/>
        <v>5.184800140029173E+39</v>
      </c>
      <c r="M1051" s="4">
        <f t="shared" si="67"/>
        <v>1.9769149843631024E+48</v>
      </c>
    </row>
    <row r="1052" spans="1:13" x14ac:dyDescent="0.2">
      <c r="A1052" s="3">
        <f>StartYear+1050</f>
        <v>3075</v>
      </c>
      <c r="B1052" s="4">
        <f>FacultyFTE*HoursPerWeek*WeeksPerYear*RatePerHour*(1+PracticeGrowth)^1050</f>
        <v>5.1068900909688241E+27</v>
      </c>
      <c r="C1052" s="4">
        <f>StudentsY1*(1+StudentGrowth)^1050*CreditsPerStudent*TuitionPerCredit</f>
        <v>3.1918063068555149E+28</v>
      </c>
      <c r="D1052" s="4">
        <f>SimRevY1*(1+SimGrowth)^1050</f>
        <v>1.4497376590017954E+48</v>
      </c>
      <c r="E1052" s="4">
        <f>FacDevRevY1*(1+FacDevGrowth)^1050</f>
        <v>7.2486882950089772E+47</v>
      </c>
      <c r="F1052" s="4">
        <f t="shared" si="64"/>
        <v>2.174606488502693E+48</v>
      </c>
      <c r="G1052" s="4">
        <f t="shared" si="65"/>
        <v>2.174606488502693E+48</v>
      </c>
      <c r="H1052" s="4">
        <f>SalaryFTECount*SalaryPerFTE*(1+SalaryGrowth)^1050</f>
        <v>1.6114823694945659E+23</v>
      </c>
      <c r="I1052" s="4">
        <f>SimOpsY1*(1+SimOpsGrowth)^1050</f>
        <v>3.7330560957602512E+39</v>
      </c>
      <c r="J1052" s="4">
        <f>TrainDevY1*(1+TrainDevGrowth)^1050</f>
        <v>1.8665280478801256E+39</v>
      </c>
      <c r="K1052" s="4">
        <f>AdminY1*(1+AdminGrowth)^1050</f>
        <v>7.450553261251881E+30</v>
      </c>
      <c r="L1052" s="4">
        <f t="shared" si="66"/>
        <v>5.5995841510909301E+39</v>
      </c>
      <c r="M1052" s="4">
        <f t="shared" si="67"/>
        <v>2.1746064829031088E+48</v>
      </c>
    </row>
    <row r="1053" spans="1:13" x14ac:dyDescent="0.2">
      <c r="A1053" s="3">
        <f>StartYear+1051</f>
        <v>3076</v>
      </c>
      <c r="B1053" s="4">
        <f>FacultyFTE*HoursPerWeek*WeeksPerYear*RatePerHour*(1+PracticeGrowth)^1051</f>
        <v>5.3622345955172657E+27</v>
      </c>
      <c r="C1053" s="4">
        <f>StudentsY1*(1+StudentGrowth)^1051*CreditsPerStudent*TuitionPerCredit</f>
        <v>3.3513966221982913E+28</v>
      </c>
      <c r="D1053" s="4">
        <f>SimRevY1*(1+SimGrowth)^1051</f>
        <v>1.5947114249019751E+48</v>
      </c>
      <c r="E1053" s="4">
        <f>FacDevRevY1*(1+FacDevGrowth)^1051</f>
        <v>7.9735571245098757E+47</v>
      </c>
      <c r="F1053" s="4">
        <f t="shared" si="64"/>
        <v>2.3920671373529629E+48</v>
      </c>
      <c r="G1053" s="4">
        <f t="shared" si="65"/>
        <v>2.3920671373529629E+48</v>
      </c>
      <c r="H1053" s="4">
        <f>SalaryFTECount*SalaryPerFTE*(1+SalaryGrowth)^1051</f>
        <v>1.6759416642743486E+23</v>
      </c>
      <c r="I1053" s="4">
        <f>SimOpsY1*(1+SimOpsGrowth)^1051</f>
        <v>4.0317005834210715E+39</v>
      </c>
      <c r="J1053" s="4">
        <f>TrainDevY1*(1+TrainDevGrowth)^1051</f>
        <v>2.0158502917105358E+39</v>
      </c>
      <c r="K1053" s="4">
        <f>AdminY1*(1+AdminGrowth)^1051</f>
        <v>7.8975864569269955E+30</v>
      </c>
      <c r="L1053" s="4">
        <f t="shared" si="66"/>
        <v>6.0475508830291939E+39</v>
      </c>
      <c r="M1053" s="4">
        <f t="shared" si="67"/>
        <v>2.392067131305412E+48</v>
      </c>
    </row>
    <row r="1054" spans="1:13" x14ac:dyDescent="0.2">
      <c r="A1054" s="3">
        <f>StartYear+1052</f>
        <v>3077</v>
      </c>
      <c r="B1054" s="4">
        <f>FacultyFTE*HoursPerWeek*WeeksPerYear*RatePerHour*(1+PracticeGrowth)^1052</f>
        <v>5.6303463252931282E+27</v>
      </c>
      <c r="C1054" s="4">
        <f>StudentsY1*(1+StudentGrowth)^1052*CreditsPerStudent*TuitionPerCredit</f>
        <v>3.5189664533082049E+28</v>
      </c>
      <c r="D1054" s="4">
        <f>SimRevY1*(1+SimGrowth)^1052</f>
        <v>1.7541825673921726E+48</v>
      </c>
      <c r="E1054" s="4">
        <f>FacDevRevY1*(1+FacDevGrowth)^1052</f>
        <v>8.7709128369608631E+47</v>
      </c>
      <c r="F1054" s="4">
        <f t="shared" si="64"/>
        <v>2.6312738510882591E+48</v>
      </c>
      <c r="G1054" s="4">
        <f t="shared" si="65"/>
        <v>2.6312738510882591E+48</v>
      </c>
      <c r="H1054" s="4">
        <f>SalaryFTECount*SalaryPerFTE*(1+SalaryGrowth)^1052</f>
        <v>1.7429793308453228E+23</v>
      </c>
      <c r="I1054" s="4">
        <f>SimOpsY1*(1+SimOpsGrowth)^1052</f>
        <v>4.3542366300947575E+39</v>
      </c>
      <c r="J1054" s="4">
        <f>TrainDevY1*(1+TrainDevGrowth)^1052</f>
        <v>2.1771183150473788E+39</v>
      </c>
      <c r="K1054" s="4">
        <f>AdminY1*(1+AdminGrowth)^1052</f>
        <v>8.3714416443426166E+30</v>
      </c>
      <c r="L1054" s="4">
        <f t="shared" si="66"/>
        <v>6.5313549535135779E+39</v>
      </c>
      <c r="M1054" s="4">
        <f t="shared" si="67"/>
        <v>2.6312738445569042E+48</v>
      </c>
    </row>
    <row r="1055" spans="1:13" x14ac:dyDescent="0.2">
      <c r="A1055" s="3">
        <f>StartYear+1053</f>
        <v>3078</v>
      </c>
      <c r="B1055" s="4">
        <f>FacultyFTE*HoursPerWeek*WeeksPerYear*RatePerHour*(1+PracticeGrowth)^1053</f>
        <v>5.9118636415577859E+27</v>
      </c>
      <c r="C1055" s="4">
        <f>StudentsY1*(1+StudentGrowth)^1053*CreditsPerStudent*TuitionPerCredit</f>
        <v>3.6949147759736162E+28</v>
      </c>
      <c r="D1055" s="4">
        <f>SimRevY1*(1+SimGrowth)^1053</f>
        <v>1.92960082413139E+48</v>
      </c>
      <c r="E1055" s="4">
        <f>FacDevRevY1*(1+FacDevGrowth)^1053</f>
        <v>9.6480041206569502E+47</v>
      </c>
      <c r="F1055" s="4">
        <f t="shared" si="64"/>
        <v>2.8944012361970851E+48</v>
      </c>
      <c r="G1055" s="4">
        <f t="shared" si="65"/>
        <v>2.8944012361970851E+48</v>
      </c>
      <c r="H1055" s="4">
        <f>SalaryFTECount*SalaryPerFTE*(1+SalaryGrowth)^1053</f>
        <v>1.8126985040791357E+23</v>
      </c>
      <c r="I1055" s="4">
        <f>SimOpsY1*(1+SimOpsGrowth)^1053</f>
        <v>4.7025755605023381E+39</v>
      </c>
      <c r="J1055" s="4">
        <f>TrainDevY1*(1+TrainDevGrowth)^1053</f>
        <v>2.3512877802511691E+39</v>
      </c>
      <c r="K1055" s="4">
        <f>AdminY1*(1+AdminGrowth)^1053</f>
        <v>8.8737281430031729E+30</v>
      </c>
      <c r="L1055" s="4">
        <f t="shared" si="66"/>
        <v>7.0538633496272352E+39</v>
      </c>
      <c r="M1055" s="4">
        <f t="shared" si="67"/>
        <v>2.8944012291432216E+48</v>
      </c>
    </row>
    <row r="1056" spans="1:13" x14ac:dyDescent="0.2">
      <c r="A1056" s="3">
        <f>StartYear+1054</f>
        <v>3079</v>
      </c>
      <c r="B1056" s="4">
        <f>FacultyFTE*HoursPerWeek*WeeksPerYear*RatePerHour*(1+PracticeGrowth)^1054</f>
        <v>6.2074568236356732E+27</v>
      </c>
      <c r="C1056" s="4">
        <f>StudentsY1*(1+StudentGrowth)^1054*CreditsPerStudent*TuitionPerCredit</f>
        <v>3.8796605147722958E+28</v>
      </c>
      <c r="D1056" s="4">
        <f>SimRevY1*(1+SimGrowth)^1054</f>
        <v>2.1225609065445293E+48</v>
      </c>
      <c r="E1056" s="4">
        <f>FacDevRevY1*(1+FacDevGrowth)^1054</f>
        <v>1.0612804532722647E+48</v>
      </c>
      <c r="F1056" s="4">
        <f t="shared" si="64"/>
        <v>3.1838413598167943E+48</v>
      </c>
      <c r="G1056" s="4">
        <f t="shared" si="65"/>
        <v>3.1838413598167943E+48</v>
      </c>
      <c r="H1056" s="4">
        <f>SalaryFTECount*SalaryPerFTE*(1+SalaryGrowth)^1054</f>
        <v>1.8852064442423013E+23</v>
      </c>
      <c r="I1056" s="4">
        <f>SimOpsY1*(1+SimOpsGrowth)^1054</f>
        <v>5.0787816053425261E+39</v>
      </c>
      <c r="J1056" s="4">
        <f>TrainDevY1*(1+TrainDevGrowth)^1054</f>
        <v>2.5393908026712631E+39</v>
      </c>
      <c r="K1056" s="4">
        <f>AdminY1*(1+AdminGrowth)^1054</f>
        <v>9.4061518315833643E+30</v>
      </c>
      <c r="L1056" s="4">
        <f t="shared" si="66"/>
        <v>7.6181724174199405E+39</v>
      </c>
      <c r="M1056" s="4">
        <f t="shared" si="67"/>
        <v>3.1838413521986219E+48</v>
      </c>
    </row>
    <row r="1057" spans="1:13" x14ac:dyDescent="0.2">
      <c r="A1057" s="3">
        <f>StartYear+1055</f>
        <v>3080</v>
      </c>
      <c r="B1057" s="4">
        <f>FacultyFTE*HoursPerWeek*WeeksPerYear*RatePerHour*(1+PracticeGrowth)^1055</f>
        <v>6.5178296648174593E+27</v>
      </c>
      <c r="C1057" s="4">
        <f>StudentsY1*(1+StudentGrowth)^1055*CreditsPerStudent*TuitionPerCredit</f>
        <v>4.0736435405109118E+28</v>
      </c>
      <c r="D1057" s="4">
        <f>SimRevY1*(1+SimGrowth)^1055</f>
        <v>2.3348169971989822E+48</v>
      </c>
      <c r="E1057" s="4">
        <f>FacDevRevY1*(1+FacDevGrowth)^1055</f>
        <v>1.1674084985994911E+48</v>
      </c>
      <c r="F1057" s="4">
        <f t="shared" si="64"/>
        <v>3.5022254957984729E+48</v>
      </c>
      <c r="G1057" s="4">
        <f t="shared" si="65"/>
        <v>3.5022254957984729E+48</v>
      </c>
      <c r="H1057" s="4">
        <f>SalaryFTECount*SalaryPerFTE*(1+SalaryGrowth)^1055</f>
        <v>1.9606147020119932E+23</v>
      </c>
      <c r="I1057" s="4">
        <f>SimOpsY1*(1+SimOpsGrowth)^1055</f>
        <v>5.4850841337699277E+39</v>
      </c>
      <c r="J1057" s="4">
        <f>TrainDevY1*(1+TrainDevGrowth)^1055</f>
        <v>2.7425420668849639E+39</v>
      </c>
      <c r="K1057" s="4">
        <f>AdminY1*(1+AdminGrowth)^1055</f>
        <v>9.9705209414783695E+30</v>
      </c>
      <c r="L1057" s="4">
        <f t="shared" si="66"/>
        <v>8.227626210625413E+39</v>
      </c>
      <c r="M1057" s="4">
        <f t="shared" si="67"/>
        <v>3.502225487570847E+48</v>
      </c>
    </row>
    <row r="1058" spans="1:13" x14ac:dyDescent="0.2">
      <c r="A1058" s="3">
        <f>StartYear+1056</f>
        <v>3081</v>
      </c>
      <c r="B1058" s="4">
        <f>FacultyFTE*HoursPerWeek*WeeksPerYear*RatePerHour*(1+PracticeGrowth)^1056</f>
        <v>6.8437211480583312E+27</v>
      </c>
      <c r="C1058" s="4">
        <f>StudentsY1*(1+StudentGrowth)^1056*CreditsPerStudent*TuitionPerCredit</f>
        <v>4.2773257175364576E+28</v>
      </c>
      <c r="D1058" s="4">
        <f>SimRevY1*(1+SimGrowth)^1056</f>
        <v>2.5682986969188803E+48</v>
      </c>
      <c r="E1058" s="4">
        <f>FacDevRevY1*(1+FacDevGrowth)^1056</f>
        <v>1.2841493484594401E+48</v>
      </c>
      <c r="F1058" s="4">
        <f t="shared" si="64"/>
        <v>3.8524480453783202E+48</v>
      </c>
      <c r="G1058" s="4">
        <f t="shared" si="65"/>
        <v>3.8524480453783202E+48</v>
      </c>
      <c r="H1058" s="4">
        <f>SalaryFTECount*SalaryPerFTE*(1+SalaryGrowth)^1056</f>
        <v>2.0390392900924732E+23</v>
      </c>
      <c r="I1058" s="4">
        <f>SimOpsY1*(1+SimOpsGrowth)^1056</f>
        <v>5.9238908644715229E+39</v>
      </c>
      <c r="J1058" s="4">
        <f>TrainDevY1*(1+TrainDevGrowth)^1056</f>
        <v>2.9619454322357615E+39</v>
      </c>
      <c r="K1058" s="4">
        <f>AdminY1*(1+AdminGrowth)^1056</f>
        <v>1.0568752197967068E+31</v>
      </c>
      <c r="L1058" s="4">
        <f t="shared" si="66"/>
        <v>8.8858363072760361E+39</v>
      </c>
      <c r="M1058" s="4">
        <f t="shared" si="67"/>
        <v>3.8524480364924837E+48</v>
      </c>
    </row>
    <row r="1059" spans="1:13" x14ac:dyDescent="0.2">
      <c r="A1059" s="3">
        <f>StartYear+1057</f>
        <v>3082</v>
      </c>
      <c r="B1059" s="4">
        <f>FacultyFTE*HoursPerWeek*WeeksPerYear*RatePerHour*(1+PracticeGrowth)^1057</f>
        <v>7.1859072054612481E+27</v>
      </c>
      <c r="C1059" s="4">
        <f>StudentsY1*(1+StudentGrowth)^1057*CreditsPerStudent*TuitionPerCredit</f>
        <v>4.4911920034132804E+28</v>
      </c>
      <c r="D1059" s="4">
        <f>SimRevY1*(1+SimGrowth)^1057</f>
        <v>2.8251285666107688E+48</v>
      </c>
      <c r="E1059" s="4">
        <f>FacDevRevY1*(1+FacDevGrowth)^1057</f>
        <v>1.4125642833053844E+48</v>
      </c>
      <c r="F1059" s="4">
        <f t="shared" si="64"/>
        <v>4.2376928499161531E+48</v>
      </c>
      <c r="G1059" s="4">
        <f t="shared" si="65"/>
        <v>4.2376928499161531E+48</v>
      </c>
      <c r="H1059" s="4">
        <f>SalaryFTECount*SalaryPerFTE*(1+SalaryGrowth)^1057</f>
        <v>2.1206008616961721E+23</v>
      </c>
      <c r="I1059" s="4">
        <f>SimOpsY1*(1+SimOpsGrowth)^1057</f>
        <v>6.3978021336292446E+39</v>
      </c>
      <c r="J1059" s="4">
        <f>TrainDevY1*(1+TrainDevGrowth)^1057</f>
        <v>3.1989010668146223E+39</v>
      </c>
      <c r="K1059" s="4">
        <f>AdminY1*(1+AdminGrowth)^1057</f>
        <v>1.1202877329845094E+31</v>
      </c>
      <c r="L1059" s="4">
        <f t="shared" si="66"/>
        <v>9.5967032116467444E+39</v>
      </c>
      <c r="M1059" s="4">
        <f t="shared" si="67"/>
        <v>4.2376928403194502E+48</v>
      </c>
    </row>
    <row r="1060" spans="1:13" x14ac:dyDescent="0.2">
      <c r="A1060" s="3">
        <f>StartYear+1058</f>
        <v>3083</v>
      </c>
      <c r="B1060" s="4">
        <f>FacultyFTE*HoursPerWeek*WeeksPerYear*RatePerHour*(1+PracticeGrowth)^1058</f>
        <v>7.5452025657343108E+27</v>
      </c>
      <c r="C1060" s="4">
        <f>StudentsY1*(1+StudentGrowth)^1058*CreditsPerStudent*TuitionPerCredit</f>
        <v>4.7157516035839439E+28</v>
      </c>
      <c r="D1060" s="4">
        <f>SimRevY1*(1+SimGrowth)^1058</f>
        <v>3.1076414232718457E+48</v>
      </c>
      <c r="E1060" s="4">
        <f>FacDevRevY1*(1+FacDevGrowth)^1058</f>
        <v>1.5538207116359228E+48</v>
      </c>
      <c r="F1060" s="4">
        <f t="shared" si="64"/>
        <v>4.6614621349077689E+48</v>
      </c>
      <c r="G1060" s="4">
        <f t="shared" si="65"/>
        <v>4.6614621349077689E+48</v>
      </c>
      <c r="H1060" s="4">
        <f>SalaryFTECount*SalaryPerFTE*(1+SalaryGrowth)^1058</f>
        <v>2.2054248961640192E+23</v>
      </c>
      <c r="I1060" s="4">
        <f>SimOpsY1*(1+SimOpsGrowth)^1058</f>
        <v>6.9096263043195848E+39</v>
      </c>
      <c r="J1060" s="4">
        <f>TrainDevY1*(1+TrainDevGrowth)^1058</f>
        <v>3.4548131521597924E+39</v>
      </c>
      <c r="K1060" s="4">
        <f>AdminY1*(1+AdminGrowth)^1058</f>
        <v>1.1875049969635801E+31</v>
      </c>
      <c r="L1060" s="4">
        <f t="shared" si="66"/>
        <v>1.0364439468354426E+40</v>
      </c>
      <c r="M1060" s="4">
        <f t="shared" si="67"/>
        <v>4.6614621245433297E+48</v>
      </c>
    </row>
    <row r="1061" spans="1:13" x14ac:dyDescent="0.2">
      <c r="A1061" s="3">
        <f>StartYear+1059</f>
        <v>3084</v>
      </c>
      <c r="B1061" s="4">
        <f>FacultyFTE*HoursPerWeek*WeeksPerYear*RatePerHour*(1+PracticeGrowth)^1059</f>
        <v>7.9224626940210275E+27</v>
      </c>
      <c r="C1061" s="4">
        <f>StudentsY1*(1+StudentGrowth)^1059*CreditsPerStudent*TuitionPerCredit</f>
        <v>4.9515391837631418E+28</v>
      </c>
      <c r="D1061" s="4">
        <f>SimRevY1*(1+SimGrowth)^1059</f>
        <v>3.4184055655990314E+48</v>
      </c>
      <c r="E1061" s="4">
        <f>FacDevRevY1*(1+FacDevGrowth)^1059</f>
        <v>1.7092027827995157E+48</v>
      </c>
      <c r="F1061" s="4">
        <f t="shared" si="64"/>
        <v>5.127608348398547E+48</v>
      </c>
      <c r="G1061" s="4">
        <f t="shared" si="65"/>
        <v>5.127608348398547E+48</v>
      </c>
      <c r="H1061" s="4">
        <f>SalaryFTECount*SalaryPerFTE*(1+SalaryGrowth)^1059</f>
        <v>2.2936418920105799E+23</v>
      </c>
      <c r="I1061" s="4">
        <f>SimOpsY1*(1+SimOpsGrowth)^1059</f>
        <v>7.4623964086651517E+39</v>
      </c>
      <c r="J1061" s="4">
        <f>TrainDevY1*(1+TrainDevGrowth)^1059</f>
        <v>3.7311982043325758E+39</v>
      </c>
      <c r="K1061" s="4">
        <f>AdminY1*(1+AdminGrowth)^1059</f>
        <v>1.2587552967813948E+31</v>
      </c>
      <c r="L1061" s="4">
        <f t="shared" si="66"/>
        <v>1.1193594625585282E+40</v>
      </c>
      <c r="M1061" s="4">
        <f t="shared" si="67"/>
        <v>5.1276083372049526E+48</v>
      </c>
    </row>
    <row r="1062" spans="1:13" x14ac:dyDescent="0.2">
      <c r="A1062" s="3">
        <f>StartYear+1060</f>
        <v>3085</v>
      </c>
      <c r="B1062" s="4">
        <f>FacultyFTE*HoursPerWeek*WeeksPerYear*RatePerHour*(1+PracticeGrowth)^1060</f>
        <v>8.3185858287220764E+27</v>
      </c>
      <c r="C1062" s="4">
        <f>StudentsY1*(1+StudentGrowth)^1060*CreditsPerStudent*TuitionPerCredit</f>
        <v>5.1991161429512983E+28</v>
      </c>
      <c r="D1062" s="4">
        <f>SimRevY1*(1+SimGrowth)^1060</f>
        <v>3.760246122158934E+48</v>
      </c>
      <c r="E1062" s="4">
        <f>FacDevRevY1*(1+FacDevGrowth)^1060</f>
        <v>1.880123061079467E+48</v>
      </c>
      <c r="F1062" s="4">
        <f t="shared" si="64"/>
        <v>5.640369183238401E+48</v>
      </c>
      <c r="G1062" s="4">
        <f t="shared" si="65"/>
        <v>5.640369183238401E+48</v>
      </c>
      <c r="H1062" s="4">
        <f>SalaryFTECount*SalaryPerFTE*(1+SalaryGrowth)^1060</f>
        <v>2.3853875676910031E+23</v>
      </c>
      <c r="I1062" s="4">
        <f>SimOpsY1*(1+SimOpsGrowth)^1060</f>
        <v>8.0593881213583658E+39</v>
      </c>
      <c r="J1062" s="4">
        <f>TrainDevY1*(1+TrainDevGrowth)^1060</f>
        <v>4.0296940606791829E+39</v>
      </c>
      <c r="K1062" s="4">
        <f>AdminY1*(1+AdminGrowth)^1060</f>
        <v>1.3342806145882787E+31</v>
      </c>
      <c r="L1062" s="4">
        <f t="shared" si="66"/>
        <v>1.2089082195380354E+40</v>
      </c>
      <c r="M1062" s="4">
        <f t="shared" si="67"/>
        <v>5.640369171149319E+48</v>
      </c>
    </row>
    <row r="1063" spans="1:13" x14ac:dyDescent="0.2">
      <c r="A1063" s="3">
        <f>StartYear+1061</f>
        <v>3086</v>
      </c>
      <c r="B1063" s="4">
        <f>FacultyFTE*HoursPerWeek*WeeksPerYear*RatePerHour*(1+PracticeGrowth)^1061</f>
        <v>8.7345151201581818E+27</v>
      </c>
      <c r="C1063" s="4">
        <f>StudentsY1*(1+StudentGrowth)^1061*CreditsPerStudent*TuitionPerCredit</f>
        <v>5.4590719500988639E+28</v>
      </c>
      <c r="D1063" s="4">
        <f>SimRevY1*(1+SimGrowth)^1061</f>
        <v>4.136270734374828E+48</v>
      </c>
      <c r="E1063" s="4">
        <f>FacDevRevY1*(1+FacDevGrowth)^1061</f>
        <v>2.068135367187414E+48</v>
      </c>
      <c r="F1063" s="4">
        <f t="shared" si="64"/>
        <v>6.2044061015622417E+48</v>
      </c>
      <c r="G1063" s="4">
        <f t="shared" si="65"/>
        <v>6.2044061015622417E+48</v>
      </c>
      <c r="H1063" s="4">
        <f>SalaryFTECount*SalaryPerFTE*(1+SalaryGrowth)^1061</f>
        <v>2.4808030703986441E+23</v>
      </c>
      <c r="I1063" s="4">
        <f>SimOpsY1*(1+SimOpsGrowth)^1061</f>
        <v>8.7041391710670343E+39</v>
      </c>
      <c r="J1063" s="4">
        <f>TrainDevY1*(1+TrainDevGrowth)^1061</f>
        <v>4.3520695855335172E+39</v>
      </c>
      <c r="K1063" s="4">
        <f>AdminY1*(1+AdminGrowth)^1061</f>
        <v>1.4143374514635754E+31</v>
      </c>
      <c r="L1063" s="4">
        <f t="shared" si="66"/>
        <v>1.3056208770743927E+40</v>
      </c>
      <c r="M1063" s="4">
        <f t="shared" si="67"/>
        <v>6.2044060885060334E+48</v>
      </c>
    </row>
    <row r="1064" spans="1:13" x14ac:dyDescent="0.2">
      <c r="A1064" s="3">
        <f>StartYear+1062</f>
        <v>3087</v>
      </c>
      <c r="B1064" s="4">
        <f>FacultyFTE*HoursPerWeek*WeeksPerYear*RatePerHour*(1+PracticeGrowth)^1062</f>
        <v>9.1712408761660899E+27</v>
      </c>
      <c r="C1064" s="4">
        <f>StudentsY1*(1+StudentGrowth)^1062*CreditsPerStudent*TuitionPerCredit</f>
        <v>5.7320255476038064E+28</v>
      </c>
      <c r="D1064" s="4">
        <f>SimRevY1*(1+SimGrowth)^1062</f>
        <v>4.5498978078123114E+48</v>
      </c>
      <c r="E1064" s="4">
        <f>FacDevRevY1*(1+FacDevGrowth)^1062</f>
        <v>2.2749489039061557E+48</v>
      </c>
      <c r="F1064" s="4">
        <f t="shared" si="64"/>
        <v>6.8248467117184675E+48</v>
      </c>
      <c r="G1064" s="4">
        <f t="shared" si="65"/>
        <v>6.8248467117184675E+48</v>
      </c>
      <c r="H1064" s="4">
        <f>SalaryFTECount*SalaryPerFTE*(1+SalaryGrowth)^1062</f>
        <v>2.5800351932145891E+23</v>
      </c>
      <c r="I1064" s="4">
        <f>SimOpsY1*(1+SimOpsGrowth)^1062</f>
        <v>9.4004703047523988E+39</v>
      </c>
      <c r="J1064" s="4">
        <f>TrainDevY1*(1+TrainDevGrowth)^1062</f>
        <v>4.7002351523761994E+39</v>
      </c>
      <c r="K1064" s="4">
        <f>AdminY1*(1+AdminGrowth)^1062</f>
        <v>1.4991976985513901E+31</v>
      </c>
      <c r="L1064" s="4">
        <f t="shared" si="66"/>
        <v>1.4100705472120574E+40</v>
      </c>
      <c r="M1064" s="4">
        <f t="shared" si="67"/>
        <v>6.8248466976177624E+48</v>
      </c>
    </row>
    <row r="1065" spans="1:13" x14ac:dyDescent="0.2">
      <c r="A1065" s="3">
        <f>StartYear+1063</f>
        <v>3088</v>
      </c>
      <c r="B1065" s="4">
        <f>FacultyFTE*HoursPerWeek*WeeksPerYear*RatePerHour*(1+PracticeGrowth)^1063</f>
        <v>9.6298029199743962E+27</v>
      </c>
      <c r="C1065" s="4">
        <f>StudentsY1*(1+StudentGrowth)^1063*CreditsPerStudent*TuitionPerCredit</f>
        <v>6.018626824983998E+28</v>
      </c>
      <c r="D1065" s="4">
        <f>SimRevY1*(1+SimGrowth)^1063</f>
        <v>5.0048875885935434E+48</v>
      </c>
      <c r="E1065" s="4">
        <f>FacDevRevY1*(1+FacDevGrowth)^1063</f>
        <v>2.5024437942967717E+48</v>
      </c>
      <c r="F1065" s="4">
        <f t="shared" si="64"/>
        <v>7.5073313828903151E+48</v>
      </c>
      <c r="G1065" s="4">
        <f t="shared" si="65"/>
        <v>7.5073313828903151E+48</v>
      </c>
      <c r="H1065" s="4">
        <f>SalaryFTECount*SalaryPerFTE*(1+SalaryGrowth)^1063</f>
        <v>2.6832366009431727E+23</v>
      </c>
      <c r="I1065" s="4">
        <f>SimOpsY1*(1+SimOpsGrowth)^1063</f>
        <v>1.015250792913259E+40</v>
      </c>
      <c r="J1065" s="4">
        <f>TrainDevY1*(1+TrainDevGrowth)^1063</f>
        <v>5.0762539645662948E+39</v>
      </c>
      <c r="K1065" s="4">
        <f>AdminY1*(1+AdminGrowth)^1063</f>
        <v>1.5891495604644741E+31</v>
      </c>
      <c r="L1065" s="4">
        <f t="shared" si="66"/>
        <v>1.522876190959038E+40</v>
      </c>
      <c r="M1065" s="4">
        <f t="shared" si="67"/>
        <v>7.5073313676615538E+48</v>
      </c>
    </row>
    <row r="1066" spans="1:13" x14ac:dyDescent="0.2">
      <c r="A1066" s="3">
        <f>StartYear+1064</f>
        <v>3089</v>
      </c>
      <c r="B1066" s="4">
        <f>FacultyFTE*HoursPerWeek*WeeksPerYear*RatePerHour*(1+PracticeGrowth)^1064</f>
        <v>1.0111293065973116E+28</v>
      </c>
      <c r="C1066" s="4">
        <f>StudentsY1*(1+StudentGrowth)^1064*CreditsPerStudent*TuitionPerCredit</f>
        <v>6.3195581662331966E+28</v>
      </c>
      <c r="D1066" s="4">
        <f>SimRevY1*(1+SimGrowth)^1064</f>
        <v>5.5053763474528968E+48</v>
      </c>
      <c r="E1066" s="4">
        <f>FacDevRevY1*(1+FacDevGrowth)^1064</f>
        <v>2.7526881737264484E+48</v>
      </c>
      <c r="F1066" s="4">
        <f t="shared" si="64"/>
        <v>8.2580645211793456E+48</v>
      </c>
      <c r="G1066" s="4">
        <f t="shared" si="65"/>
        <v>8.2580645211793456E+48</v>
      </c>
      <c r="H1066" s="4">
        <f>SalaryFTECount*SalaryPerFTE*(1+SalaryGrowth)^1064</f>
        <v>2.7905660649809004E+23</v>
      </c>
      <c r="I1066" s="4">
        <f>SimOpsY1*(1+SimOpsGrowth)^1064</f>
        <v>1.0964708563463198E+40</v>
      </c>
      <c r="J1066" s="4">
        <f>TrainDevY1*(1+TrainDevGrowth)^1064</f>
        <v>5.4823542817315989E+39</v>
      </c>
      <c r="K1066" s="4">
        <f>AdminY1*(1+AdminGrowth)^1064</f>
        <v>1.6844985340923422E+31</v>
      </c>
      <c r="L1066" s="4">
        <f t="shared" si="66"/>
        <v>1.6447062862039783E+40</v>
      </c>
      <c r="M1066" s="4">
        <f t="shared" si="67"/>
        <v>8.2580645047322832E+48</v>
      </c>
    </row>
    <row r="1067" spans="1:13" x14ac:dyDescent="0.2">
      <c r="A1067" s="3">
        <f>StartYear+1065</f>
        <v>3090</v>
      </c>
      <c r="B1067" s="4">
        <f>FacultyFTE*HoursPerWeek*WeeksPerYear*RatePerHour*(1+PracticeGrowth)^1065</f>
        <v>1.0616857719271771E+28</v>
      </c>
      <c r="C1067" s="4">
        <f>StudentsY1*(1+StudentGrowth)^1065*CreditsPerStudent*TuitionPerCredit</f>
        <v>6.635536074544857E+28</v>
      </c>
      <c r="D1067" s="4">
        <f>SimRevY1*(1+SimGrowth)^1065</f>
        <v>6.0559139821981866E+48</v>
      </c>
      <c r="E1067" s="4">
        <f>FacDevRevY1*(1+FacDevGrowth)^1065</f>
        <v>3.0279569910990933E+48</v>
      </c>
      <c r="F1067" s="4">
        <f t="shared" si="64"/>
        <v>9.0838709732972792E+48</v>
      </c>
      <c r="G1067" s="4">
        <f t="shared" si="65"/>
        <v>9.0838709732972792E+48</v>
      </c>
      <c r="H1067" s="4">
        <f>SalaryFTECount*SalaryPerFTE*(1+SalaryGrowth)^1065</f>
        <v>2.9021887075801363E+23</v>
      </c>
      <c r="I1067" s="4">
        <f>SimOpsY1*(1+SimOpsGrowth)^1065</f>
        <v>1.1841885248540257E+40</v>
      </c>
      <c r="J1067" s="4">
        <f>TrainDevY1*(1+TrainDevGrowth)^1065</f>
        <v>5.9209426242701284E+39</v>
      </c>
      <c r="K1067" s="4">
        <f>AdminY1*(1+AdminGrowth)^1065</f>
        <v>1.7855684461378824E+31</v>
      </c>
      <c r="L1067" s="4">
        <f t="shared" si="66"/>
        <v>1.776282789066607E+40</v>
      </c>
      <c r="M1067" s="4">
        <f t="shared" si="67"/>
        <v>9.0838709555344511E+48</v>
      </c>
    </row>
    <row r="1068" spans="1:13" x14ac:dyDescent="0.2">
      <c r="A1068" s="3">
        <f>StartYear+1066</f>
        <v>3091</v>
      </c>
      <c r="B1068" s="4">
        <f>FacultyFTE*HoursPerWeek*WeeksPerYear*RatePerHour*(1+PracticeGrowth)^1066</f>
        <v>1.1147700605235359E+28</v>
      </c>
      <c r="C1068" s="4">
        <f>StudentsY1*(1+StudentGrowth)^1066*CreditsPerStudent*TuitionPerCredit</f>
        <v>6.9673128782720997E+28</v>
      </c>
      <c r="D1068" s="4">
        <f>SimRevY1*(1+SimGrowth)^1066</f>
        <v>6.6615053804180059E+48</v>
      </c>
      <c r="E1068" s="4">
        <f>FacDevRevY1*(1+FacDevGrowth)^1066</f>
        <v>3.3307526902090029E+48</v>
      </c>
      <c r="F1068" s="4">
        <f t="shared" si="64"/>
        <v>9.9922580706270095E+48</v>
      </c>
      <c r="G1068" s="4">
        <f t="shared" si="65"/>
        <v>9.9922580706270095E+48</v>
      </c>
      <c r="H1068" s="4">
        <f>SalaryFTECount*SalaryPerFTE*(1+SalaryGrowth)^1066</f>
        <v>3.0182762558833414E+23</v>
      </c>
      <c r="I1068" s="4">
        <f>SimOpsY1*(1+SimOpsGrowth)^1066</f>
        <v>1.2789236068423473E+40</v>
      </c>
      <c r="J1068" s="4">
        <f>TrainDevY1*(1+TrainDevGrowth)^1066</f>
        <v>6.3946180342117366E+39</v>
      </c>
      <c r="K1068" s="4">
        <f>AdminY1*(1+AdminGrowth)^1066</f>
        <v>1.8927025529061557E+31</v>
      </c>
      <c r="L1068" s="4">
        <f t="shared" si="66"/>
        <v>1.9183854121562235E+40</v>
      </c>
      <c r="M1068" s="4">
        <f t="shared" si="67"/>
        <v>9.9922580514431549E+48</v>
      </c>
    </row>
    <row r="1069" spans="1:13" x14ac:dyDescent="0.2">
      <c r="A1069" s="3">
        <f>StartYear+1067</f>
        <v>3092</v>
      </c>
      <c r="B1069" s="4">
        <f>FacultyFTE*HoursPerWeek*WeeksPerYear*RatePerHour*(1+PracticeGrowth)^1067</f>
        <v>1.170508563549713E+28</v>
      </c>
      <c r="C1069" s="4">
        <f>StudentsY1*(1+StudentGrowth)^1067*CreditsPerStudent*TuitionPerCredit</f>
        <v>7.3156785221857048E+28</v>
      </c>
      <c r="D1069" s="4">
        <f>SimRevY1*(1+SimGrowth)^1067</f>
        <v>7.3276559184598079E+48</v>
      </c>
      <c r="E1069" s="4">
        <f>FacDevRevY1*(1+FacDevGrowth)^1067</f>
        <v>3.663827959229904E+48</v>
      </c>
      <c r="F1069" s="4">
        <f t="shared" si="64"/>
        <v>1.0991483877689711E+49</v>
      </c>
      <c r="G1069" s="4">
        <f t="shared" si="65"/>
        <v>1.0991483877689711E+49</v>
      </c>
      <c r="H1069" s="4">
        <f>SalaryFTECount*SalaryPerFTE*(1+SalaryGrowth)^1067</f>
        <v>3.1390073061186756E+23</v>
      </c>
      <c r="I1069" s="4">
        <f>SimOpsY1*(1+SimOpsGrowth)^1067</f>
        <v>1.3812374953897353E+40</v>
      </c>
      <c r="J1069" s="4">
        <f>TrainDevY1*(1+TrainDevGrowth)^1067</f>
        <v>6.9061874769486766E+39</v>
      </c>
      <c r="K1069" s="4">
        <f>AdminY1*(1+AdminGrowth)^1067</f>
        <v>2.0062647060805255E+31</v>
      </c>
      <c r="L1069" s="4">
        <f t="shared" si="66"/>
        <v>2.0718562450908675E+40</v>
      </c>
      <c r="M1069" s="4">
        <f t="shared" si="67"/>
        <v>1.0991483856971149E+49</v>
      </c>
    </row>
    <row r="1070" spans="1:13" x14ac:dyDescent="0.2">
      <c r="A1070" s="3">
        <f>StartYear+1068</f>
        <v>3093</v>
      </c>
      <c r="B1070" s="4">
        <f>FacultyFTE*HoursPerWeek*WeeksPerYear*RatePerHour*(1+PracticeGrowth)^1068</f>
        <v>1.2290339917271983E+28</v>
      </c>
      <c r="C1070" s="4">
        <f>StudentsY1*(1+StudentGrowth)^1068*CreditsPerStudent*TuitionPerCredit</f>
        <v>7.6814624482949892E+28</v>
      </c>
      <c r="D1070" s="4">
        <f>SimRevY1*(1+SimGrowth)^1068</f>
        <v>8.0604215103057888E+48</v>
      </c>
      <c r="E1070" s="4">
        <f>FacDevRevY1*(1+FacDevGrowth)^1068</f>
        <v>4.0302107551528944E+48</v>
      </c>
      <c r="F1070" s="4">
        <f t="shared" si="64"/>
        <v>1.2090632265458683E+49</v>
      </c>
      <c r="G1070" s="4">
        <f t="shared" si="65"/>
        <v>1.2090632265458683E+49</v>
      </c>
      <c r="H1070" s="4">
        <f>SalaryFTECount*SalaryPerFTE*(1+SalaryGrowth)^1068</f>
        <v>3.264567598363423E+23</v>
      </c>
      <c r="I1070" s="4">
        <f>SimOpsY1*(1+SimOpsGrowth)^1068</f>
        <v>1.4917364950209145E+40</v>
      </c>
      <c r="J1070" s="4">
        <f>TrainDevY1*(1+TrainDevGrowth)^1068</f>
        <v>7.4586824751045727E+39</v>
      </c>
      <c r="K1070" s="4">
        <f>AdminY1*(1+AdminGrowth)^1068</f>
        <v>2.126640588445357E+31</v>
      </c>
      <c r="L1070" s="4">
        <f t="shared" si="66"/>
        <v>2.2376047446580127E+40</v>
      </c>
      <c r="M1070" s="4">
        <f t="shared" si="67"/>
        <v>1.2090632243082635E+49</v>
      </c>
    </row>
    <row r="1071" spans="1:13" x14ac:dyDescent="0.2">
      <c r="A1071" s="3">
        <f>StartYear+1069</f>
        <v>3094</v>
      </c>
      <c r="B1071" s="4">
        <f>FacultyFTE*HoursPerWeek*WeeksPerYear*RatePerHour*(1+PracticeGrowth)^1069</f>
        <v>1.2904856913135585E+28</v>
      </c>
      <c r="C1071" s="4">
        <f>StudentsY1*(1+StudentGrowth)^1069*CreditsPerStudent*TuitionPerCredit</f>
        <v>8.0655355707097405E+28</v>
      </c>
      <c r="D1071" s="4">
        <f>SimRevY1*(1+SimGrowth)^1069</f>
        <v>8.8664636613363686E+48</v>
      </c>
      <c r="E1071" s="4">
        <f>FacDevRevY1*(1+FacDevGrowth)^1069</f>
        <v>4.4332318306681843E+48</v>
      </c>
      <c r="F1071" s="4">
        <f t="shared" si="64"/>
        <v>1.3299695492004553E+49</v>
      </c>
      <c r="G1071" s="4">
        <f t="shared" si="65"/>
        <v>1.3299695492004553E+49</v>
      </c>
      <c r="H1071" s="4">
        <f>SalaryFTECount*SalaryPerFTE*(1+SalaryGrowth)^1069</f>
        <v>3.39515030229796E+23</v>
      </c>
      <c r="I1071" s="4">
        <f>SimOpsY1*(1+SimOpsGrowth)^1069</f>
        <v>1.6110754146225873E+40</v>
      </c>
      <c r="J1071" s="4">
        <f>TrainDevY1*(1+TrainDevGrowth)^1069</f>
        <v>8.0553770731129365E+39</v>
      </c>
      <c r="K1071" s="4">
        <f>AdminY1*(1+AdminGrowth)^1069</f>
        <v>2.2542390237520783E+31</v>
      </c>
      <c r="L1071" s="4">
        <f t="shared" si="66"/>
        <v>2.4166131241881197E+40</v>
      </c>
      <c r="M1071" s="4">
        <f t="shared" si="67"/>
        <v>1.3299695467838422E+49</v>
      </c>
    </row>
    <row r="1072" spans="1:13" x14ac:dyDescent="0.2">
      <c r="A1072" s="3">
        <f>StartYear+1070</f>
        <v>3095</v>
      </c>
      <c r="B1072" s="4">
        <f>FacultyFTE*HoursPerWeek*WeeksPerYear*RatePerHour*(1+PracticeGrowth)^1070</f>
        <v>1.3550099758792362E+28</v>
      </c>
      <c r="C1072" s="4">
        <f>StudentsY1*(1+StudentGrowth)^1070*CreditsPerStudent*TuitionPerCredit</f>
        <v>8.4688123492452258E+28</v>
      </c>
      <c r="D1072" s="4">
        <f>SimRevY1*(1+SimGrowth)^1070</f>
        <v>9.7531100274700055E+48</v>
      </c>
      <c r="E1072" s="4">
        <f>FacDevRevY1*(1+FacDevGrowth)^1070</f>
        <v>4.8765550137350027E+48</v>
      </c>
      <c r="F1072" s="4">
        <f t="shared" si="64"/>
        <v>1.4629665041205008E+49</v>
      </c>
      <c r="G1072" s="4">
        <f t="shared" si="65"/>
        <v>1.4629665041205008E+49</v>
      </c>
      <c r="H1072" s="4">
        <f>SalaryFTECount*SalaryPerFTE*(1+SalaryGrowth)^1070</f>
        <v>3.5309563143898784E+23</v>
      </c>
      <c r="I1072" s="4">
        <f>SimOpsY1*(1+SimOpsGrowth)^1070</f>
        <v>1.7399614477923945E+40</v>
      </c>
      <c r="J1072" s="4">
        <f>TrainDevY1*(1+TrainDevGrowth)^1070</f>
        <v>8.6998072389619727E+39</v>
      </c>
      <c r="K1072" s="4">
        <f>AdminY1*(1+AdminGrowth)^1070</f>
        <v>2.389493365177203E+31</v>
      </c>
      <c r="L1072" s="4">
        <f t="shared" si="66"/>
        <v>2.6099421740780851E+40</v>
      </c>
      <c r="M1072" s="4">
        <f t="shared" si="67"/>
        <v>1.4629665015105585E+49</v>
      </c>
    </row>
    <row r="1073" spans="1:13" x14ac:dyDescent="0.2">
      <c r="A1073" s="3">
        <f>StartYear+1071</f>
        <v>3096</v>
      </c>
      <c r="B1073" s="4">
        <f>FacultyFTE*HoursPerWeek*WeeksPerYear*RatePerHour*(1+PracticeGrowth)^1071</f>
        <v>1.4227604746731982E+28</v>
      </c>
      <c r="C1073" s="4">
        <f>StudentsY1*(1+StudentGrowth)^1071*CreditsPerStudent*TuitionPerCredit</f>
        <v>8.8922529667074889E+28</v>
      </c>
      <c r="D1073" s="4">
        <f>SimRevY1*(1+SimGrowth)^1071</f>
        <v>1.0728421030217007E+49</v>
      </c>
      <c r="E1073" s="4">
        <f>FacDevRevY1*(1+FacDevGrowth)^1071</f>
        <v>5.3642105151085037E+48</v>
      </c>
      <c r="F1073" s="4">
        <f t="shared" si="64"/>
        <v>1.6092631545325512E+49</v>
      </c>
      <c r="G1073" s="4">
        <f t="shared" si="65"/>
        <v>1.6092631545325512E+49</v>
      </c>
      <c r="H1073" s="4">
        <f>SalaryFTECount*SalaryPerFTE*(1+SalaryGrowth)^1071</f>
        <v>3.6721945669654734E+23</v>
      </c>
      <c r="I1073" s="4">
        <f>SimOpsY1*(1+SimOpsGrowth)^1071</f>
        <v>1.8791583636157865E+40</v>
      </c>
      <c r="J1073" s="4">
        <f>TrainDevY1*(1+TrainDevGrowth)^1071</f>
        <v>9.3957918180789326E+39</v>
      </c>
      <c r="K1073" s="4">
        <f>AdminY1*(1+AdminGrowth)^1071</f>
        <v>2.5328629670878359E+31</v>
      </c>
      <c r="L1073" s="4">
        <f t="shared" si="66"/>
        <v>2.8187375479565429E+40</v>
      </c>
      <c r="M1073" s="4">
        <f t="shared" si="67"/>
        <v>1.6092631517138136E+49</v>
      </c>
    </row>
    <row r="1074" spans="1:13" x14ac:dyDescent="0.2">
      <c r="A1074" s="3">
        <f>StartYear+1072</f>
        <v>3097</v>
      </c>
      <c r="B1074" s="4">
        <f>FacultyFTE*HoursPerWeek*WeeksPerYear*RatePerHour*(1+PracticeGrowth)^1072</f>
        <v>1.4938984984068582E+28</v>
      </c>
      <c r="C1074" s="4">
        <f>StudentsY1*(1+StudentGrowth)^1072*CreditsPerStudent*TuitionPerCredit</f>
        <v>9.3368656150428629E+28</v>
      </c>
      <c r="D1074" s="4">
        <f>SimRevY1*(1+SimGrowth)^1072</f>
        <v>1.1801263133238707E+49</v>
      </c>
      <c r="E1074" s="4">
        <f>FacDevRevY1*(1+FacDevGrowth)^1072</f>
        <v>5.9006315666193536E+48</v>
      </c>
      <c r="F1074" s="4">
        <f t="shared" si="64"/>
        <v>1.7701894699858061E+49</v>
      </c>
      <c r="G1074" s="4">
        <f t="shared" si="65"/>
        <v>1.7701894699858061E+49</v>
      </c>
      <c r="H1074" s="4">
        <f>SalaryFTECount*SalaryPerFTE*(1+SalaryGrowth)^1072</f>
        <v>3.8190823496440933E+23</v>
      </c>
      <c r="I1074" s="4">
        <f>SimOpsY1*(1+SimOpsGrowth)^1072</f>
        <v>2.0294910327050491E+40</v>
      </c>
      <c r="J1074" s="4">
        <f>TrainDevY1*(1+TrainDevGrowth)^1072</f>
        <v>1.0147455163525245E+40</v>
      </c>
      <c r="K1074" s="4">
        <f>AdminY1*(1+AdminGrowth)^1072</f>
        <v>2.6848347451131058E+31</v>
      </c>
      <c r="L1074" s="4">
        <f t="shared" si="66"/>
        <v>3.0442365517424083E+40</v>
      </c>
      <c r="M1074" s="4">
        <f t="shared" si="67"/>
        <v>1.7701894669415694E+49</v>
      </c>
    </row>
    <row r="1075" spans="1:13" x14ac:dyDescent="0.2">
      <c r="A1075" s="3">
        <f>StartYear+1073</f>
        <v>3098</v>
      </c>
      <c r="B1075" s="4">
        <f>FacultyFTE*HoursPerWeek*WeeksPerYear*RatePerHour*(1+PracticeGrowth)^1073</f>
        <v>1.5685934233272012E+28</v>
      </c>
      <c r="C1075" s="4">
        <f>StudentsY1*(1+StudentGrowth)^1073*CreditsPerStudent*TuitionPerCredit</f>
        <v>9.8037088957950067E+28</v>
      </c>
      <c r="D1075" s="4">
        <f>SimRevY1*(1+SimGrowth)^1073</f>
        <v>1.298138944656258E+49</v>
      </c>
      <c r="E1075" s="4">
        <f>FacDevRevY1*(1+FacDevGrowth)^1073</f>
        <v>6.49069472328129E+48</v>
      </c>
      <c r="F1075" s="4">
        <f t="shared" si="64"/>
        <v>1.947208416984387E+49</v>
      </c>
      <c r="G1075" s="4">
        <f t="shared" si="65"/>
        <v>1.947208416984387E+49</v>
      </c>
      <c r="H1075" s="4">
        <f>SalaryFTECount*SalaryPerFTE*(1+SalaryGrowth)^1073</f>
        <v>3.9718456436298568E+23</v>
      </c>
      <c r="I1075" s="4">
        <f>SimOpsY1*(1+SimOpsGrowth)^1073</f>
        <v>2.1918503153214535E+40</v>
      </c>
      <c r="J1075" s="4">
        <f>TrainDevY1*(1+TrainDevGrowth)^1073</f>
        <v>1.0959251576607268E+40</v>
      </c>
      <c r="K1075" s="4">
        <f>AdminY1*(1+AdminGrowth)^1073</f>
        <v>2.8459248298198921E+31</v>
      </c>
      <c r="L1075" s="4">
        <f t="shared" si="66"/>
        <v>3.2877754758281051E+40</v>
      </c>
      <c r="M1075" s="4">
        <f t="shared" si="67"/>
        <v>1.9472084136966116E+49</v>
      </c>
    </row>
    <row r="1076" spans="1:13" x14ac:dyDescent="0.2">
      <c r="A1076" s="3">
        <f>StartYear+1074</f>
        <v>3099</v>
      </c>
      <c r="B1076" s="4">
        <f>FacultyFTE*HoursPerWeek*WeeksPerYear*RatePerHour*(1+PracticeGrowth)^1074</f>
        <v>1.6470230944935614E+28</v>
      </c>
      <c r="C1076" s="4">
        <f>StudentsY1*(1+StudentGrowth)^1074*CreditsPerStudent*TuitionPerCredit</f>
        <v>1.0293894340584758E+29</v>
      </c>
      <c r="D1076" s="4">
        <f>SimRevY1*(1+SimGrowth)^1074</f>
        <v>1.4279528391218839E+49</v>
      </c>
      <c r="E1076" s="4">
        <f>FacDevRevY1*(1+FacDevGrowth)^1074</f>
        <v>7.1397641956094197E+48</v>
      </c>
      <c r="F1076" s="4">
        <f t="shared" si="64"/>
        <v>2.1419292586828258E+49</v>
      </c>
      <c r="G1076" s="4">
        <f t="shared" si="65"/>
        <v>2.1419292586828258E+49</v>
      </c>
      <c r="H1076" s="4">
        <f>SalaryFTECount*SalaryPerFTE*(1+SalaryGrowth)^1074</f>
        <v>4.1307194693750515E+23</v>
      </c>
      <c r="I1076" s="4">
        <f>SimOpsY1*(1+SimOpsGrowth)^1074</f>
        <v>2.3671983405471696E+40</v>
      </c>
      <c r="J1076" s="4">
        <f>TrainDevY1*(1+TrainDevGrowth)^1074</f>
        <v>1.1835991702735848E+40</v>
      </c>
      <c r="K1076" s="4">
        <f>AdminY1*(1+AdminGrowth)^1074</f>
        <v>3.0166803196090856E+31</v>
      </c>
      <c r="L1076" s="4">
        <f t="shared" si="66"/>
        <v>3.5507975138374349E+40</v>
      </c>
      <c r="M1076" s="4">
        <f t="shared" si="67"/>
        <v>2.1419292551320282E+49</v>
      </c>
    </row>
    <row r="1077" spans="1:13" x14ac:dyDescent="0.2">
      <c r="A1077" s="3">
        <f>StartYear+1075</f>
        <v>3100</v>
      </c>
      <c r="B1077" s="4">
        <f>FacultyFTE*HoursPerWeek*WeeksPerYear*RatePerHour*(1+PracticeGrowth)^1075</f>
        <v>1.7293742492182395E+28</v>
      </c>
      <c r="C1077" s="4">
        <f>StudentsY1*(1+StudentGrowth)^1075*CreditsPerStudent*TuitionPerCredit</f>
        <v>1.0808589057613995E+29</v>
      </c>
      <c r="D1077" s="4">
        <f>SimRevY1*(1+SimGrowth)^1075</f>
        <v>1.5707481230340723E+49</v>
      </c>
      <c r="E1077" s="4">
        <f>FacDevRevY1*(1+FacDevGrowth)^1075</f>
        <v>7.8537406151703616E+48</v>
      </c>
      <c r="F1077" s="4">
        <f t="shared" si="64"/>
        <v>2.3561221845511085E+49</v>
      </c>
      <c r="G1077" s="4">
        <f t="shared" si="65"/>
        <v>2.3561221845511085E+49</v>
      </c>
      <c r="H1077" s="4">
        <f>SalaryFTECount*SalaryPerFTE*(1+SalaryGrowth)^1075</f>
        <v>4.2959482481500536E+23</v>
      </c>
      <c r="I1077" s="4">
        <f>SimOpsY1*(1+SimOpsGrowth)^1075</f>
        <v>2.5565742077909434E+40</v>
      </c>
      <c r="J1077" s="4">
        <f>TrainDevY1*(1+TrainDevGrowth)^1075</f>
        <v>1.2782871038954717E+40</v>
      </c>
      <c r="K1077" s="4">
        <f>AdminY1*(1+AdminGrowth)^1075</f>
        <v>3.1976811387856308E+31</v>
      </c>
      <c r="L1077" s="4">
        <f t="shared" si="66"/>
        <v>3.8348613148840964E+40</v>
      </c>
      <c r="M1077" s="4">
        <f t="shared" si="67"/>
        <v>2.3561221807162473E+49</v>
      </c>
    </row>
    <row r="1078" spans="1:13" x14ac:dyDescent="0.2">
      <c r="A1078" s="3">
        <f>StartYear+1076</f>
        <v>3101</v>
      </c>
      <c r="B1078" s="4">
        <f>FacultyFTE*HoursPerWeek*WeeksPerYear*RatePerHour*(1+PracticeGrowth)^1076</f>
        <v>1.8158429616791514E+28</v>
      </c>
      <c r="C1078" s="4">
        <f>StudentsY1*(1+StudentGrowth)^1076*CreditsPerStudent*TuitionPerCredit</f>
        <v>1.1349018510494696E+29</v>
      </c>
      <c r="D1078" s="4">
        <f>SimRevY1*(1+SimGrowth)^1076</f>
        <v>1.72782293533748E+49</v>
      </c>
      <c r="E1078" s="4">
        <f>FacDevRevY1*(1+FacDevGrowth)^1076</f>
        <v>8.6391146766874001E+48</v>
      </c>
      <c r="F1078" s="4">
        <f t="shared" si="64"/>
        <v>2.5917344030062199E+49</v>
      </c>
      <c r="G1078" s="4">
        <f t="shared" si="65"/>
        <v>2.5917344030062199E+49</v>
      </c>
      <c r="H1078" s="4">
        <f>SalaryFTECount*SalaryPerFTE*(1+SalaryGrowth)^1076</f>
        <v>4.467786178076056E+23</v>
      </c>
      <c r="I1078" s="4">
        <f>SimOpsY1*(1+SimOpsGrowth)^1076</f>
        <v>2.7611001444142189E+40</v>
      </c>
      <c r="J1078" s="4">
        <f>TrainDevY1*(1+TrainDevGrowth)^1076</f>
        <v>1.3805500722071095E+40</v>
      </c>
      <c r="K1078" s="4">
        <f>AdminY1*(1+AdminGrowth)^1076</f>
        <v>3.3895420071127692E+31</v>
      </c>
      <c r="L1078" s="4">
        <f t="shared" si="66"/>
        <v>4.1416502200108709E+40</v>
      </c>
      <c r="M1078" s="4">
        <f t="shared" si="67"/>
        <v>2.5917343988645698E+49</v>
      </c>
    </row>
    <row r="1079" spans="1:13" x14ac:dyDescent="0.2">
      <c r="A1079" s="3">
        <f>StartYear+1077</f>
        <v>3102</v>
      </c>
      <c r="B1079" s="4">
        <f>FacultyFTE*HoursPerWeek*WeeksPerYear*RatePerHour*(1+PracticeGrowth)^1077</f>
        <v>1.9066351097631087E+28</v>
      </c>
      <c r="C1079" s="4">
        <f>StudentsY1*(1+StudentGrowth)^1077*CreditsPerStudent*TuitionPerCredit</f>
        <v>1.191646943601943E+29</v>
      </c>
      <c r="D1079" s="4">
        <f>SimRevY1*(1+SimGrowth)^1077</f>
        <v>1.9006052288712281E+49</v>
      </c>
      <c r="E1079" s="4">
        <f>FacDevRevY1*(1+FacDevGrowth)^1077</f>
        <v>9.5030261443561405E+48</v>
      </c>
      <c r="F1079" s="4">
        <f t="shared" si="64"/>
        <v>2.8509078433068421E+49</v>
      </c>
      <c r="G1079" s="4">
        <f t="shared" si="65"/>
        <v>2.8509078433068421E+49</v>
      </c>
      <c r="H1079" s="4">
        <f>SalaryFTECount*SalaryPerFTE*(1+SalaryGrowth)^1077</f>
        <v>4.6464976251990986E+23</v>
      </c>
      <c r="I1079" s="4">
        <f>SimOpsY1*(1+SimOpsGrowth)^1077</f>
        <v>2.9819881559673563E+40</v>
      </c>
      <c r="J1079" s="4">
        <f>TrainDevY1*(1+TrainDevGrowth)^1077</f>
        <v>1.4909940779836781E+40</v>
      </c>
      <c r="K1079" s="4">
        <f>AdminY1*(1+AdminGrowth)^1077</f>
        <v>3.592914527539536E+31</v>
      </c>
      <c r="L1079" s="4">
        <f t="shared" si="66"/>
        <v>4.4729822375439499E+40</v>
      </c>
      <c r="M1079" s="4">
        <f t="shared" si="67"/>
        <v>2.8509078388338601E+49</v>
      </c>
    </row>
    <row r="1080" spans="1:13" x14ac:dyDescent="0.2">
      <c r="A1080" s="3">
        <f>StartYear+1078</f>
        <v>3103</v>
      </c>
      <c r="B1080" s="4">
        <f>FacultyFTE*HoursPerWeek*WeeksPerYear*RatePerHour*(1+PracticeGrowth)^1078</f>
        <v>2.001966865251264E+28</v>
      </c>
      <c r="C1080" s="4">
        <f>StudentsY1*(1+StudentGrowth)^1078*CreditsPerStudent*TuitionPerCredit</f>
        <v>1.25122929078204E+29</v>
      </c>
      <c r="D1080" s="4">
        <f>SimRevY1*(1+SimGrowth)^1078</f>
        <v>2.0906657517583507E+49</v>
      </c>
      <c r="E1080" s="4">
        <f>FacDevRevY1*(1+FacDevGrowth)^1078</f>
        <v>1.0453328758791753E+49</v>
      </c>
      <c r="F1080" s="4">
        <f t="shared" si="64"/>
        <v>3.1359986276375258E+49</v>
      </c>
      <c r="G1080" s="4">
        <f t="shared" si="65"/>
        <v>3.1359986276375258E+49</v>
      </c>
      <c r="H1080" s="4">
        <f>SalaryFTECount*SalaryPerFTE*(1+SalaryGrowth)^1078</f>
        <v>4.832357530207063E+23</v>
      </c>
      <c r="I1080" s="4">
        <f>SimOpsY1*(1+SimOpsGrowth)^1078</f>
        <v>3.2205472084447456E+40</v>
      </c>
      <c r="J1080" s="4">
        <f>TrainDevY1*(1+TrainDevGrowth)^1078</f>
        <v>1.6102736042223728E+40</v>
      </c>
      <c r="K1080" s="4">
        <f>AdminY1*(1+AdminGrowth)^1078</f>
        <v>3.8084893991919086E+31</v>
      </c>
      <c r="L1080" s="4">
        <f t="shared" si="66"/>
        <v>4.8308208164756086E+40</v>
      </c>
      <c r="M1080" s="4">
        <f t="shared" si="67"/>
        <v>3.1359986228067052E+49</v>
      </c>
    </row>
    <row r="1081" spans="1:13" x14ac:dyDescent="0.2">
      <c r="A1081" s="3">
        <f>StartYear+1079</f>
        <v>3104</v>
      </c>
      <c r="B1081" s="4">
        <f>FacultyFTE*HoursPerWeek*WeeksPerYear*RatePerHour*(1+PracticeGrowth)^1079</f>
        <v>2.1020652085138278E+28</v>
      </c>
      <c r="C1081" s="4">
        <f>StudentsY1*(1+StudentGrowth)^1079*CreditsPerStudent*TuitionPerCredit</f>
        <v>1.3137907553211423E+29</v>
      </c>
      <c r="D1081" s="4">
        <f>SimRevY1*(1+SimGrowth)^1079</f>
        <v>2.2997323269341866E+49</v>
      </c>
      <c r="E1081" s="4">
        <f>FacDevRevY1*(1+FacDevGrowth)^1079</f>
        <v>1.1498661634670933E+49</v>
      </c>
      <c r="F1081" s="4">
        <f t="shared" si="64"/>
        <v>3.44959849040128E+49</v>
      </c>
      <c r="G1081" s="4">
        <f t="shared" si="65"/>
        <v>3.44959849040128E+49</v>
      </c>
      <c r="H1081" s="4">
        <f>SalaryFTECount*SalaryPerFTE*(1+SalaryGrowth)^1079</f>
        <v>5.0256518314153448E+23</v>
      </c>
      <c r="I1081" s="4">
        <f>SimOpsY1*(1+SimOpsGrowth)^1079</f>
        <v>3.4781909851203255E+40</v>
      </c>
      <c r="J1081" s="4">
        <f>TrainDevY1*(1+TrainDevGrowth)^1079</f>
        <v>1.7390954925601627E+40</v>
      </c>
      <c r="K1081" s="4">
        <f>AdminY1*(1+AdminGrowth)^1079</f>
        <v>4.0369987631434234E+31</v>
      </c>
      <c r="L1081" s="4">
        <f t="shared" si="66"/>
        <v>5.2172864817174871E+40</v>
      </c>
      <c r="M1081" s="4">
        <f t="shared" si="67"/>
        <v>3.4495984851839937E+49</v>
      </c>
    </row>
    <row r="1082" spans="1:13" x14ac:dyDescent="0.2">
      <c r="A1082" s="3">
        <f>StartYear+1080</f>
        <v>3105</v>
      </c>
      <c r="B1082" s="4">
        <f>FacultyFTE*HoursPerWeek*WeeksPerYear*RatePerHour*(1+PracticeGrowth)^1080</f>
        <v>2.2071684689395189E+28</v>
      </c>
      <c r="C1082" s="4">
        <f>StudentsY1*(1+StudentGrowth)^1080*CreditsPerStudent*TuitionPerCredit</f>
        <v>1.3794802930871992E+29</v>
      </c>
      <c r="D1082" s="4">
        <f>SimRevY1*(1+SimGrowth)^1080</f>
        <v>2.5297055596276047E+49</v>
      </c>
      <c r="E1082" s="4">
        <f>FacDevRevY1*(1+FacDevGrowth)^1080</f>
        <v>1.2648527798138023E+49</v>
      </c>
      <c r="F1082" s="4">
        <f t="shared" si="64"/>
        <v>3.794558339441407E+49</v>
      </c>
      <c r="G1082" s="4">
        <f t="shared" si="65"/>
        <v>3.794558339441407E+49</v>
      </c>
      <c r="H1082" s="4">
        <f>SalaryFTECount*SalaryPerFTE*(1+SalaryGrowth)^1080</f>
        <v>5.2266779046719593E+23</v>
      </c>
      <c r="I1082" s="4">
        <f>SimOpsY1*(1+SimOpsGrowth)^1080</f>
        <v>3.7564462639299511E+40</v>
      </c>
      <c r="J1082" s="4">
        <f>TrainDevY1*(1+TrainDevGrowth)^1080</f>
        <v>1.8782231319649755E+40</v>
      </c>
      <c r="K1082" s="4">
        <f>AdminY1*(1+AdminGrowth)^1080</f>
        <v>4.279218688932028E+31</v>
      </c>
      <c r="L1082" s="4">
        <f t="shared" si="66"/>
        <v>5.6346694001741451E+40</v>
      </c>
      <c r="M1082" s="4">
        <f t="shared" si="67"/>
        <v>3.7945583338067373E+49</v>
      </c>
    </row>
    <row r="1083" spans="1:13" x14ac:dyDescent="0.2">
      <c r="A1083" s="3">
        <f>StartYear+1081</f>
        <v>3106</v>
      </c>
      <c r="B1083" s="4">
        <f>FacultyFTE*HoursPerWeek*WeeksPerYear*RatePerHour*(1+PracticeGrowth)^1081</f>
        <v>2.3175268923864945E+28</v>
      </c>
      <c r="C1083" s="4">
        <f>StudentsY1*(1+StudentGrowth)^1081*CreditsPerStudent*TuitionPerCredit</f>
        <v>1.4484543077415591E+29</v>
      </c>
      <c r="D1083" s="4">
        <f>SimRevY1*(1+SimGrowth)^1081</f>
        <v>2.7826761155903654E+49</v>
      </c>
      <c r="E1083" s="4">
        <f>FacDevRevY1*(1+FacDevGrowth)^1081</f>
        <v>1.3913380577951827E+49</v>
      </c>
      <c r="F1083" s="4">
        <f t="shared" si="64"/>
        <v>4.1740141733855482E+49</v>
      </c>
      <c r="G1083" s="4">
        <f t="shared" si="65"/>
        <v>4.1740141733855482E+49</v>
      </c>
      <c r="H1083" s="4">
        <f>SalaryFTECount*SalaryPerFTE*(1+SalaryGrowth)^1081</f>
        <v>5.435745020858839E+23</v>
      </c>
      <c r="I1083" s="4">
        <f>SimOpsY1*(1+SimOpsGrowth)^1081</f>
        <v>4.0569619650443477E+40</v>
      </c>
      <c r="J1083" s="4">
        <f>TrainDevY1*(1+TrainDevGrowth)^1081</f>
        <v>2.0284809825221739E+40</v>
      </c>
      <c r="K1083" s="4">
        <f>AdminY1*(1+AdminGrowth)^1081</f>
        <v>4.5359718102679499E+31</v>
      </c>
      <c r="L1083" s="4">
        <f t="shared" si="66"/>
        <v>6.0854429521024935E+40</v>
      </c>
      <c r="M1083" s="4">
        <f t="shared" si="67"/>
        <v>4.1740141673001051E+49</v>
      </c>
    </row>
    <row r="1084" spans="1:13" x14ac:dyDescent="0.2">
      <c r="A1084" s="3">
        <f>StartYear+1082</f>
        <v>3107</v>
      </c>
      <c r="B1084" s="4">
        <f>FacultyFTE*HoursPerWeek*WeeksPerYear*RatePerHour*(1+PracticeGrowth)^1082</f>
        <v>2.4334032370058199E+28</v>
      </c>
      <c r="C1084" s="4">
        <f>StudentsY1*(1+StudentGrowth)^1082*CreditsPerStudent*TuitionPerCredit</f>
        <v>1.5208770231286373E+29</v>
      </c>
      <c r="D1084" s="4">
        <f>SimRevY1*(1+SimGrowth)^1082</f>
        <v>3.0609437271494019E+49</v>
      </c>
      <c r="E1084" s="4">
        <f>FacDevRevY1*(1+FacDevGrowth)^1082</f>
        <v>1.5304718635747009E+49</v>
      </c>
      <c r="F1084" s="4">
        <f t="shared" si="64"/>
        <v>4.5914155907241028E+49</v>
      </c>
      <c r="G1084" s="4">
        <f t="shared" si="65"/>
        <v>4.5914155907241028E+49</v>
      </c>
      <c r="H1084" s="4">
        <f>SalaryFTECount*SalaryPerFTE*(1+SalaryGrowth)^1082</f>
        <v>5.6531748216931909E+23</v>
      </c>
      <c r="I1084" s="4">
        <f>SimOpsY1*(1+SimOpsGrowth)^1082</f>
        <v>4.3815189222478957E+40</v>
      </c>
      <c r="J1084" s="4">
        <f>TrainDevY1*(1+TrainDevGrowth)^1082</f>
        <v>2.1907594611239478E+40</v>
      </c>
      <c r="K1084" s="4">
        <f>AdminY1*(1+AdminGrowth)^1082</f>
        <v>4.808130118884027E+31</v>
      </c>
      <c r="L1084" s="4">
        <f t="shared" si="66"/>
        <v>6.5722783881799736E+40</v>
      </c>
      <c r="M1084" s="4">
        <f t="shared" si="67"/>
        <v>4.5914155841518243E+49</v>
      </c>
    </row>
    <row r="1085" spans="1:13" x14ac:dyDescent="0.2">
      <c r="A1085" s="3">
        <f>StartYear+1083</f>
        <v>3108</v>
      </c>
      <c r="B1085" s="4">
        <f>FacultyFTE*HoursPerWeek*WeeksPerYear*RatePerHour*(1+PracticeGrowth)^1083</f>
        <v>2.555073398856111E+28</v>
      </c>
      <c r="C1085" s="4">
        <f>StudentsY1*(1+StudentGrowth)^1083*CreditsPerStudent*TuitionPerCredit</f>
        <v>1.5969208742850691E+29</v>
      </c>
      <c r="D1085" s="4">
        <f>SimRevY1*(1+SimGrowth)^1083</f>
        <v>3.3670380998643433E+49</v>
      </c>
      <c r="E1085" s="4">
        <f>FacDevRevY1*(1+FacDevGrowth)^1083</f>
        <v>1.6835190499321717E+49</v>
      </c>
      <c r="F1085" s="4">
        <f t="shared" si="64"/>
        <v>5.0505571497965147E+49</v>
      </c>
      <c r="G1085" s="4">
        <f t="shared" si="65"/>
        <v>5.0505571497965147E+49</v>
      </c>
      <c r="H1085" s="4">
        <f>SalaryFTECount*SalaryPerFTE*(1+SalaryGrowth)^1083</f>
        <v>5.8793018145609186E+23</v>
      </c>
      <c r="I1085" s="4">
        <f>SimOpsY1*(1+SimOpsGrowth)^1083</f>
        <v>4.7320404360277268E+40</v>
      </c>
      <c r="J1085" s="4">
        <f>TrainDevY1*(1+TrainDevGrowth)^1083</f>
        <v>2.3660202180138634E+40</v>
      </c>
      <c r="K1085" s="4">
        <f>AdminY1*(1+AdminGrowth)^1083</f>
        <v>5.0966179260170702E+31</v>
      </c>
      <c r="L1085" s="4">
        <f t="shared" si="66"/>
        <v>7.0980606591382082E+40</v>
      </c>
      <c r="M1085" s="4">
        <f t="shared" si="67"/>
        <v>5.0505571426984538E+49</v>
      </c>
    </row>
    <row r="1086" spans="1:13" x14ac:dyDescent="0.2">
      <c r="A1086" s="3">
        <f>StartYear+1084</f>
        <v>3109</v>
      </c>
      <c r="B1086" s="4">
        <f>FacultyFTE*HoursPerWeek*WeeksPerYear*RatePerHour*(1+PracticeGrowth)^1084</f>
        <v>2.6828270687989159E+28</v>
      </c>
      <c r="C1086" s="4">
        <f>StudentsY1*(1+StudentGrowth)^1084*CreditsPerStudent*TuitionPerCredit</f>
        <v>1.6767669179993226E+29</v>
      </c>
      <c r="D1086" s="4">
        <f>SimRevY1*(1+SimGrowth)^1084</f>
        <v>3.7037419098507772E+49</v>
      </c>
      <c r="E1086" s="4">
        <f>FacDevRevY1*(1+FacDevGrowth)^1084</f>
        <v>1.8518709549253886E+49</v>
      </c>
      <c r="F1086" s="4">
        <f t="shared" si="64"/>
        <v>5.5556128647761653E+49</v>
      </c>
      <c r="G1086" s="4">
        <f t="shared" si="65"/>
        <v>5.5556128647761653E+49</v>
      </c>
      <c r="H1086" s="4">
        <f>SalaryFTECount*SalaryPerFTE*(1+SalaryGrowth)^1084</f>
        <v>6.114473887143358E+23</v>
      </c>
      <c r="I1086" s="4">
        <f>SimOpsY1*(1+SimOpsGrowth)^1084</f>
        <v>5.1106036709099458E+40</v>
      </c>
      <c r="J1086" s="4">
        <f>TrainDevY1*(1+TrainDevGrowth)^1084</f>
        <v>2.5553018354549729E+40</v>
      </c>
      <c r="K1086" s="4">
        <f>AdminY1*(1+AdminGrowth)^1084</f>
        <v>5.4024150015780937E+31</v>
      </c>
      <c r="L1086" s="4">
        <f t="shared" si="66"/>
        <v>7.665905511767334E+40</v>
      </c>
      <c r="M1086" s="4">
        <f t="shared" si="67"/>
        <v>5.5556128571102602E+49</v>
      </c>
    </row>
    <row r="1087" spans="1:13" x14ac:dyDescent="0.2">
      <c r="A1087" s="3">
        <f>StartYear+1085</f>
        <v>3110</v>
      </c>
      <c r="B1087" s="4">
        <f>FacultyFTE*HoursPerWeek*WeeksPerYear*RatePerHour*(1+PracticeGrowth)^1085</f>
        <v>2.8169684222388625E+28</v>
      </c>
      <c r="C1087" s="4">
        <f>StudentsY1*(1+StudentGrowth)^1085*CreditsPerStudent*TuitionPerCredit</f>
        <v>1.7606052638992891E+29</v>
      </c>
      <c r="D1087" s="4">
        <f>SimRevY1*(1+SimGrowth)^1085</f>
        <v>4.0741161008358553E+49</v>
      </c>
      <c r="E1087" s="4">
        <f>FacDevRevY1*(1+FacDevGrowth)^1085</f>
        <v>2.0370580504179277E+49</v>
      </c>
      <c r="F1087" s="4">
        <f t="shared" si="64"/>
        <v>6.1111741512537832E+49</v>
      </c>
      <c r="G1087" s="4">
        <f t="shared" si="65"/>
        <v>6.1111741512537832E+49</v>
      </c>
      <c r="H1087" s="4">
        <f>SalaryFTECount*SalaryPerFTE*(1+SalaryGrowth)^1085</f>
        <v>6.3590528426290925E+23</v>
      </c>
      <c r="I1087" s="4">
        <f>SimOpsY1*(1+SimOpsGrowth)^1085</f>
        <v>5.5194519645827413E+40</v>
      </c>
      <c r="J1087" s="4">
        <f>TrainDevY1*(1+TrainDevGrowth)^1085</f>
        <v>2.7597259822913707E+40</v>
      </c>
      <c r="K1087" s="4">
        <f>AdminY1*(1+AdminGrowth)^1085</f>
        <v>5.726559901672781E+31</v>
      </c>
      <c r="L1087" s="4">
        <f t="shared" si="66"/>
        <v>8.2791779526006723E+40</v>
      </c>
      <c r="M1087" s="4">
        <f t="shared" si="67"/>
        <v>6.1111741429746057E+49</v>
      </c>
    </row>
    <row r="1088" spans="1:13" x14ac:dyDescent="0.2">
      <c r="A1088" s="3">
        <f>StartYear+1086</f>
        <v>3111</v>
      </c>
      <c r="B1088" s="4">
        <f>FacultyFTE*HoursPerWeek*WeeksPerYear*RatePerHour*(1+PracticeGrowth)^1086</f>
        <v>2.9578168433508046E+28</v>
      </c>
      <c r="C1088" s="4">
        <f>StudentsY1*(1+StudentGrowth)^1086*CreditsPerStudent*TuitionPerCredit</f>
        <v>1.8486355270942529E+29</v>
      </c>
      <c r="D1088" s="4">
        <f>SimRevY1*(1+SimGrowth)^1086</f>
        <v>4.4815277109194424E+49</v>
      </c>
      <c r="E1088" s="4">
        <f>FacDevRevY1*(1+FacDevGrowth)^1086</f>
        <v>2.2407638554597212E+49</v>
      </c>
      <c r="F1088" s="4">
        <f t="shared" si="64"/>
        <v>6.722291566379164E+49</v>
      </c>
      <c r="G1088" s="4">
        <f t="shared" si="65"/>
        <v>6.722291566379164E+49</v>
      </c>
      <c r="H1088" s="4">
        <f>SalaryFTECount*SalaryPerFTE*(1+SalaryGrowth)^1086</f>
        <v>6.6134149563342555E+23</v>
      </c>
      <c r="I1088" s="4">
        <f>SimOpsY1*(1+SimOpsGrowth)^1086</f>
        <v>5.9610081217493612E+40</v>
      </c>
      <c r="J1088" s="4">
        <f>TrainDevY1*(1+TrainDevGrowth)^1086</f>
        <v>2.9805040608746806E+40</v>
      </c>
      <c r="K1088" s="4">
        <f>AdminY1*(1+AdminGrowth)^1086</f>
        <v>6.0701534957731464E+31</v>
      </c>
      <c r="L1088" s="4">
        <f t="shared" si="66"/>
        <v>8.9415121886941967E+40</v>
      </c>
      <c r="M1088" s="4">
        <f t="shared" si="67"/>
        <v>6.7222915574376519E+49</v>
      </c>
    </row>
    <row r="1089" spans="1:13" x14ac:dyDescent="0.2">
      <c r="A1089" s="3">
        <f>StartYear+1087</f>
        <v>3112</v>
      </c>
      <c r="B1089" s="4">
        <f>FacultyFTE*HoursPerWeek*WeeksPerYear*RatePerHour*(1+PracticeGrowth)^1087</f>
        <v>3.1057076855183463E+28</v>
      </c>
      <c r="C1089" s="4">
        <f>StudentsY1*(1+StudentGrowth)^1087*CreditsPerStudent*TuitionPerCredit</f>
        <v>1.9410673034489662E+29</v>
      </c>
      <c r="D1089" s="4">
        <f>SimRevY1*(1+SimGrowth)^1087</f>
        <v>4.9296804820113846E+49</v>
      </c>
      <c r="E1089" s="4">
        <f>FacDevRevY1*(1+FacDevGrowth)^1087</f>
        <v>2.4648402410056923E+49</v>
      </c>
      <c r="F1089" s="4">
        <f t="shared" si="64"/>
        <v>7.3945207230170769E+49</v>
      </c>
      <c r="G1089" s="4">
        <f t="shared" si="65"/>
        <v>7.3945207230170769E+49</v>
      </c>
      <c r="H1089" s="4">
        <f>SalaryFTECount*SalaryPerFTE*(1+SalaryGrowth)^1087</f>
        <v>6.8779515545876252E+23</v>
      </c>
      <c r="I1089" s="4">
        <f>SimOpsY1*(1+SimOpsGrowth)^1087</f>
        <v>6.4378887714893111E+40</v>
      </c>
      <c r="J1089" s="4">
        <f>TrainDevY1*(1+TrainDevGrowth)^1087</f>
        <v>3.2189443857446556E+40</v>
      </c>
      <c r="K1089" s="4">
        <f>AdminY1*(1+AdminGrowth)^1087</f>
        <v>6.4343627055195381E+31</v>
      </c>
      <c r="L1089" s="4">
        <f t="shared" si="66"/>
        <v>9.6568331636683303E+40</v>
      </c>
      <c r="M1089" s="4">
        <f t="shared" si="67"/>
        <v>7.3945207133602438E+49</v>
      </c>
    </row>
    <row r="1090" spans="1:13" x14ac:dyDescent="0.2">
      <c r="A1090" s="3">
        <f>StartYear+1088</f>
        <v>3113</v>
      </c>
      <c r="B1090" s="4">
        <f>FacultyFTE*HoursPerWeek*WeeksPerYear*RatePerHour*(1+PracticeGrowth)^1088</f>
        <v>3.2609930697942628E+28</v>
      </c>
      <c r="C1090" s="4">
        <f>StudentsY1*(1+StudentGrowth)^1088*CreditsPerStudent*TuitionPerCredit</f>
        <v>2.0381206686214142E+29</v>
      </c>
      <c r="D1090" s="4">
        <f>SimRevY1*(1+SimGrowth)^1088</f>
        <v>5.4226485302125247E+49</v>
      </c>
      <c r="E1090" s="4">
        <f>FacDevRevY1*(1+FacDevGrowth)^1088</f>
        <v>2.7113242651062624E+49</v>
      </c>
      <c r="F1090" s="4">
        <f t="shared" ref="F1090:F1153" si="68">C1090+D1090+E1090</f>
        <v>8.1339727953187866E+49</v>
      </c>
      <c r="G1090" s="4">
        <f t="shared" ref="G1090:G1153" si="69">B1090+F1090</f>
        <v>8.1339727953187866E+49</v>
      </c>
      <c r="H1090" s="4">
        <f>SalaryFTECount*SalaryPerFTE*(1+SalaryGrowth)^1088</f>
        <v>7.1530696167711308E+23</v>
      </c>
      <c r="I1090" s="4">
        <f>SimOpsY1*(1+SimOpsGrowth)^1088</f>
        <v>6.9529198732084563E+40</v>
      </c>
      <c r="J1090" s="4">
        <f>TrainDevY1*(1+TrainDevGrowth)^1088</f>
        <v>3.4764599366042282E+40</v>
      </c>
      <c r="K1090" s="4">
        <f>AdminY1*(1+AdminGrowth)^1088</f>
        <v>6.8204244678507073E+31</v>
      </c>
      <c r="L1090" s="4">
        <f t="shared" ref="L1090:L1153" si="70">SUM(H1090:K1090)</f>
        <v>1.0429379816633109E+41</v>
      </c>
      <c r="M1090" s="4">
        <f t="shared" ref="M1090:M1153" si="71">G1090-L1090</f>
        <v>8.1339727848894072E+49</v>
      </c>
    </row>
    <row r="1091" spans="1:13" x14ac:dyDescent="0.2">
      <c r="A1091" s="3">
        <f>StartYear+1089</f>
        <v>3114</v>
      </c>
      <c r="B1091" s="4">
        <f>FacultyFTE*HoursPerWeek*WeeksPerYear*RatePerHour*(1+PracticeGrowth)^1089</f>
        <v>3.4240427232839764E+28</v>
      </c>
      <c r="C1091" s="4">
        <f>StudentsY1*(1+StudentGrowth)^1089*CreditsPerStudent*TuitionPerCredit</f>
        <v>2.1400267020524854E+29</v>
      </c>
      <c r="D1091" s="4">
        <f>SimRevY1*(1+SimGrowth)^1089</f>
        <v>5.9649133832337775E+49</v>
      </c>
      <c r="E1091" s="4">
        <f>FacDevRevY1*(1+FacDevGrowth)^1089</f>
        <v>2.9824566916168888E+49</v>
      </c>
      <c r="F1091" s="4">
        <f t="shared" si="68"/>
        <v>8.9473700748506663E+49</v>
      </c>
      <c r="G1091" s="4">
        <f t="shared" si="69"/>
        <v>8.9473700748506663E+49</v>
      </c>
      <c r="H1091" s="4">
        <f>SalaryFTECount*SalaryPerFTE*(1+SalaryGrowth)^1089</f>
        <v>7.4391924014419768E+23</v>
      </c>
      <c r="I1091" s="4">
        <f>SimOpsY1*(1+SimOpsGrowth)^1089</f>
        <v>7.5091534630651337E+40</v>
      </c>
      <c r="J1091" s="4">
        <f>TrainDevY1*(1+TrainDevGrowth)^1089</f>
        <v>3.7545767315325669E+40</v>
      </c>
      <c r="K1091" s="4">
        <f>AdminY1*(1+AdminGrowth)^1089</f>
        <v>7.2296499359217505E+31</v>
      </c>
      <c r="L1091" s="4">
        <f t="shared" si="70"/>
        <v>1.126373020182735E+41</v>
      </c>
      <c r="M1091" s="4">
        <f t="shared" si="71"/>
        <v>8.9473700635869357E+49</v>
      </c>
    </row>
    <row r="1092" spans="1:13" x14ac:dyDescent="0.2">
      <c r="A1092" s="3">
        <f>StartYear+1090</f>
        <v>3115</v>
      </c>
      <c r="B1092" s="4">
        <f>FacultyFTE*HoursPerWeek*WeeksPerYear*RatePerHour*(1+PracticeGrowth)^1090</f>
        <v>3.5952448594481754E+28</v>
      </c>
      <c r="C1092" s="4">
        <f>StudentsY1*(1+StudentGrowth)^1090*CreditsPerStudent*TuitionPerCredit</f>
        <v>2.2470280371551094E+29</v>
      </c>
      <c r="D1092" s="4">
        <f>SimRevY1*(1+SimGrowth)^1090</f>
        <v>6.5614047215571559E+49</v>
      </c>
      <c r="E1092" s="4">
        <f>FacDevRevY1*(1+FacDevGrowth)^1090</f>
        <v>3.2807023607785779E+49</v>
      </c>
      <c r="F1092" s="4">
        <f t="shared" si="68"/>
        <v>9.8421070823357338E+49</v>
      </c>
      <c r="G1092" s="4">
        <f t="shared" si="69"/>
        <v>9.8421070823357338E+49</v>
      </c>
      <c r="H1092" s="4">
        <f>SalaryFTECount*SalaryPerFTE*(1+SalaryGrowth)^1090</f>
        <v>7.7367600974996558E+23</v>
      </c>
      <c r="I1092" s="4">
        <f>SimOpsY1*(1+SimOpsGrowth)^1090</f>
        <v>8.1098857401103438E+40</v>
      </c>
      <c r="J1092" s="4">
        <f>TrainDevY1*(1+TrainDevGrowth)^1090</f>
        <v>4.0549428700551719E+40</v>
      </c>
      <c r="K1092" s="4">
        <f>AdminY1*(1+AdminGrowth)^1090</f>
        <v>7.6634289320770556E+31</v>
      </c>
      <c r="L1092" s="4">
        <f t="shared" si="70"/>
        <v>1.2164828617828944E+41</v>
      </c>
      <c r="M1092" s="4">
        <f t="shared" si="71"/>
        <v>9.8421070701709051E+49</v>
      </c>
    </row>
    <row r="1093" spans="1:13" x14ac:dyDescent="0.2">
      <c r="A1093" s="3">
        <f>StartYear+1091</f>
        <v>3116</v>
      </c>
      <c r="B1093" s="4">
        <f>FacultyFTE*HoursPerWeek*WeeksPerYear*RatePerHour*(1+PracticeGrowth)^1091</f>
        <v>3.7750071024205846E+28</v>
      </c>
      <c r="C1093" s="4">
        <f>StudentsY1*(1+StudentGrowth)^1091*CreditsPerStudent*TuitionPerCredit</f>
        <v>2.3593794390128653E+29</v>
      </c>
      <c r="D1093" s="4">
        <f>SimRevY1*(1+SimGrowth)^1091</f>
        <v>7.2175451937128725E+49</v>
      </c>
      <c r="E1093" s="4">
        <f>FacDevRevY1*(1+FacDevGrowth)^1091</f>
        <v>3.6087725968564363E+49</v>
      </c>
      <c r="F1093" s="4">
        <f t="shared" si="68"/>
        <v>1.0826317790569309E+50</v>
      </c>
      <c r="G1093" s="4">
        <f t="shared" si="69"/>
        <v>1.0826317790569309E+50</v>
      </c>
      <c r="H1093" s="4">
        <f>SalaryFTECount*SalaryPerFTE*(1+SalaryGrowth)^1091</f>
        <v>8.0462305013996423E+23</v>
      </c>
      <c r="I1093" s="4">
        <f>SimOpsY1*(1+SimOpsGrowth)^1091</f>
        <v>8.7586765993191724E+40</v>
      </c>
      <c r="J1093" s="4">
        <f>TrainDevY1*(1+TrainDevGrowth)^1091</f>
        <v>4.3793382996595862E+40</v>
      </c>
      <c r="K1093" s="4">
        <f>AdminY1*(1+AdminGrowth)^1091</f>
        <v>8.1232346680016796E+31</v>
      </c>
      <c r="L1093" s="4">
        <f t="shared" si="70"/>
        <v>1.3138014907101995E+41</v>
      </c>
      <c r="M1093" s="4">
        <f t="shared" si="71"/>
        <v>1.0826317777431295E+50</v>
      </c>
    </row>
    <row r="1094" spans="1:13" x14ac:dyDescent="0.2">
      <c r="A1094" s="3">
        <f>StartYear+1092</f>
        <v>3117</v>
      </c>
      <c r="B1094" s="4">
        <f>FacultyFTE*HoursPerWeek*WeeksPerYear*RatePerHour*(1+PracticeGrowth)^1092</f>
        <v>3.963757457541613E+28</v>
      </c>
      <c r="C1094" s="4">
        <f>StudentsY1*(1+StudentGrowth)^1092*CreditsPerStudent*TuitionPerCredit</f>
        <v>2.4773484109635081E+29</v>
      </c>
      <c r="D1094" s="4">
        <f>SimRevY1*(1+SimGrowth)^1092</f>
        <v>7.939299713084159E+49</v>
      </c>
      <c r="E1094" s="4">
        <f>FacDevRevY1*(1+FacDevGrowth)^1092</f>
        <v>3.9696498565420795E+49</v>
      </c>
      <c r="F1094" s="4">
        <f t="shared" si="68"/>
        <v>1.1908949569626238E+50</v>
      </c>
      <c r="G1094" s="4">
        <f t="shared" si="69"/>
        <v>1.1908949569626238E+50</v>
      </c>
      <c r="H1094" s="4">
        <f>SalaryFTECount*SalaryPerFTE*(1+SalaryGrowth)^1092</f>
        <v>8.3680797214556288E+23</v>
      </c>
      <c r="I1094" s="4">
        <f>SimOpsY1*(1+SimOpsGrowth)^1092</f>
        <v>9.459370727264706E+40</v>
      </c>
      <c r="J1094" s="4">
        <f>TrainDevY1*(1+TrainDevGrowth)^1092</f>
        <v>4.729685363632353E+40</v>
      </c>
      <c r="K1094" s="4">
        <f>AdminY1*(1+AdminGrowth)^1092</f>
        <v>8.6106287480817828E+31</v>
      </c>
      <c r="L1094" s="4">
        <f t="shared" si="70"/>
        <v>1.4189056099507688E+41</v>
      </c>
      <c r="M1094" s="4">
        <f t="shared" si="71"/>
        <v>1.1908949555437181E+50</v>
      </c>
    </row>
    <row r="1095" spans="1:13" x14ac:dyDescent="0.2">
      <c r="A1095" s="3">
        <f>StartYear+1093</f>
        <v>3118</v>
      </c>
      <c r="B1095" s="4">
        <f>FacultyFTE*HoursPerWeek*WeeksPerYear*RatePerHour*(1+PracticeGrowth)^1093</f>
        <v>4.1619453304186934E+28</v>
      </c>
      <c r="C1095" s="4">
        <f>StudentsY1*(1+StudentGrowth)^1093*CreditsPerStudent*TuitionPerCredit</f>
        <v>2.6012158315116836E+29</v>
      </c>
      <c r="D1095" s="4">
        <f>SimRevY1*(1+SimGrowth)^1093</f>
        <v>8.7332296843925764E+49</v>
      </c>
      <c r="E1095" s="4">
        <f>FacDevRevY1*(1+FacDevGrowth)^1093</f>
        <v>4.3666148421962882E+49</v>
      </c>
      <c r="F1095" s="4">
        <f t="shared" si="68"/>
        <v>1.3099844526588865E+50</v>
      </c>
      <c r="G1095" s="4">
        <f t="shared" si="69"/>
        <v>1.3099844526588865E+50</v>
      </c>
      <c r="H1095" s="4">
        <f>SalaryFTECount*SalaryPerFTE*(1+SalaryGrowth)^1093</f>
        <v>8.7028029103138536E+23</v>
      </c>
      <c r="I1095" s="4">
        <f>SimOpsY1*(1+SimOpsGrowth)^1093</f>
        <v>1.0216120385445883E+41</v>
      </c>
      <c r="J1095" s="4">
        <f>TrainDevY1*(1+TrainDevGrowth)^1093</f>
        <v>5.1080601927229413E+40</v>
      </c>
      <c r="K1095" s="4">
        <f>AdminY1*(1+AdminGrowth)^1093</f>
        <v>9.127266472966689E+31</v>
      </c>
      <c r="L1095" s="4">
        <f t="shared" si="70"/>
        <v>1.532418058729609E+41</v>
      </c>
      <c r="M1095" s="4">
        <f t="shared" si="71"/>
        <v>1.3099844511264683E+50</v>
      </c>
    </row>
    <row r="1096" spans="1:13" x14ac:dyDescent="0.2">
      <c r="A1096" s="3">
        <f>StartYear+1094</f>
        <v>3119</v>
      </c>
      <c r="B1096" s="4">
        <f>FacultyFTE*HoursPerWeek*WeeksPerYear*RatePerHour*(1+PracticeGrowth)^1094</f>
        <v>4.3700425969396282E+28</v>
      </c>
      <c r="C1096" s="4">
        <f>StudentsY1*(1+StudentGrowth)^1094*CreditsPerStudent*TuitionPerCredit</f>
        <v>2.7312766230872678E+29</v>
      </c>
      <c r="D1096" s="4">
        <f>SimRevY1*(1+SimGrowth)^1094</f>
        <v>9.6065526528318345E+49</v>
      </c>
      <c r="E1096" s="4">
        <f>FacDevRevY1*(1+FacDevGrowth)^1094</f>
        <v>4.8032763264159172E+49</v>
      </c>
      <c r="F1096" s="4">
        <f t="shared" si="68"/>
        <v>1.4409828979247751E+50</v>
      </c>
      <c r="G1096" s="4">
        <f t="shared" si="69"/>
        <v>1.4409828979247751E+50</v>
      </c>
      <c r="H1096" s="4">
        <f>SalaryFTECount*SalaryPerFTE*(1+SalaryGrowth)^1094</f>
        <v>9.0509150267264098E+23</v>
      </c>
      <c r="I1096" s="4">
        <f>SimOpsY1*(1+SimOpsGrowth)^1094</f>
        <v>1.1033410016281555E+41</v>
      </c>
      <c r="J1096" s="4">
        <f>TrainDevY1*(1+TrainDevGrowth)^1094</f>
        <v>5.5167050081407777E+40</v>
      </c>
      <c r="K1096" s="4">
        <f>AdminY1*(1+AdminGrowth)^1094</f>
        <v>9.6749024613446905E+31</v>
      </c>
      <c r="L1096" s="4">
        <f t="shared" si="70"/>
        <v>1.6550115034097236E+41</v>
      </c>
      <c r="M1096" s="4">
        <f t="shared" si="71"/>
        <v>1.4409828962697635E+50</v>
      </c>
    </row>
    <row r="1097" spans="1:13" x14ac:dyDescent="0.2">
      <c r="A1097" s="3">
        <f>StartYear+1095</f>
        <v>3120</v>
      </c>
      <c r="B1097" s="4">
        <f>FacultyFTE*HoursPerWeek*WeeksPerYear*RatePerHour*(1+PracticeGrowth)^1095</f>
        <v>4.5885447267866101E+28</v>
      </c>
      <c r="C1097" s="4">
        <f>StudentsY1*(1+StudentGrowth)^1095*CreditsPerStudent*TuitionPerCredit</f>
        <v>2.8678404542416315E+29</v>
      </c>
      <c r="D1097" s="4">
        <f>SimRevY1*(1+SimGrowth)^1095</f>
        <v>1.0567207918115019E+50</v>
      </c>
      <c r="E1097" s="4">
        <f>FacDevRevY1*(1+FacDevGrowth)^1095</f>
        <v>5.2836039590575093E+49</v>
      </c>
      <c r="F1097" s="4">
        <f t="shared" si="68"/>
        <v>1.5850811877172528E+50</v>
      </c>
      <c r="G1097" s="4">
        <f t="shared" si="69"/>
        <v>1.5850811877172528E+50</v>
      </c>
      <c r="H1097" s="4">
        <f>SalaryFTECount*SalaryPerFTE*(1+SalaryGrowth)^1095</f>
        <v>9.4129516277954643E+23</v>
      </c>
      <c r="I1097" s="4">
        <f>SimOpsY1*(1+SimOpsGrowth)^1095</f>
        <v>1.1916082817584081E+41</v>
      </c>
      <c r="J1097" s="4">
        <f>TrainDevY1*(1+TrainDevGrowth)^1095</f>
        <v>5.9580414087920405E+40</v>
      </c>
      <c r="K1097" s="4">
        <f>AdminY1*(1+AdminGrowth)^1095</f>
        <v>1.0255396609025373E+32</v>
      </c>
      <c r="L1097" s="4">
        <f t="shared" si="70"/>
        <v>1.787412423663152E+41</v>
      </c>
      <c r="M1097" s="4">
        <f t="shared" si="71"/>
        <v>1.5850811859298403E+50</v>
      </c>
    </row>
    <row r="1098" spans="1:13" x14ac:dyDescent="0.2">
      <c r="A1098" s="3">
        <f>StartYear+1096</f>
        <v>3121</v>
      </c>
      <c r="B1098" s="4">
        <f>FacultyFTE*HoursPerWeek*WeeksPerYear*RatePerHour*(1+PracticeGrowth)^1096</f>
        <v>4.8179719631259413E+28</v>
      </c>
      <c r="C1098" s="4">
        <f>StudentsY1*(1+StudentGrowth)^1096*CreditsPerStudent*TuitionPerCredit</f>
        <v>3.0112324769537133E+29</v>
      </c>
      <c r="D1098" s="4">
        <f>SimRevY1*(1+SimGrowth)^1096</f>
        <v>1.162392870992652E+50</v>
      </c>
      <c r="E1098" s="4">
        <f>FacDevRevY1*(1+FacDevGrowth)^1096</f>
        <v>5.8119643549632598E+49</v>
      </c>
      <c r="F1098" s="4">
        <f t="shared" si="68"/>
        <v>1.7435893064889779E+50</v>
      </c>
      <c r="G1098" s="4">
        <f t="shared" si="69"/>
        <v>1.7435893064889779E+50</v>
      </c>
      <c r="H1098" s="4">
        <f>SalaryFTECount*SalaryPerFTE*(1+SalaryGrowth)^1096</f>
        <v>9.7894696929072845E+23</v>
      </c>
      <c r="I1098" s="4">
        <f>SimOpsY1*(1+SimOpsGrowth)^1096</f>
        <v>1.2869369442990807E+41</v>
      </c>
      <c r="J1098" s="4">
        <f>TrainDevY1*(1+TrainDevGrowth)^1096</f>
        <v>6.4346847214954033E+40</v>
      </c>
      <c r="K1098" s="4">
        <f>AdminY1*(1+AdminGrowth)^1096</f>
        <v>1.0870720405566896E+32</v>
      </c>
      <c r="L1098" s="4">
        <f t="shared" si="70"/>
        <v>1.9304054175356929E+41</v>
      </c>
      <c r="M1098" s="4">
        <f t="shared" si="71"/>
        <v>1.7435893045585725E+50</v>
      </c>
    </row>
    <row r="1099" spans="1:13" x14ac:dyDescent="0.2">
      <c r="A1099" s="3">
        <f>StartYear+1097</f>
        <v>3122</v>
      </c>
      <c r="B1099" s="4">
        <f>FacultyFTE*HoursPerWeek*WeeksPerYear*RatePerHour*(1+PracticeGrowth)^1097</f>
        <v>5.0588705612822372E+28</v>
      </c>
      <c r="C1099" s="4">
        <f>StudentsY1*(1+StudentGrowth)^1097*CreditsPerStudent*TuitionPerCredit</f>
        <v>3.1617941008013983E+29</v>
      </c>
      <c r="D1099" s="4">
        <f>SimRevY1*(1+SimGrowth)^1097</f>
        <v>1.2786321580919175E+50</v>
      </c>
      <c r="E1099" s="4">
        <f>FacDevRevY1*(1+FacDevGrowth)^1097</f>
        <v>6.3931607904595874E+49</v>
      </c>
      <c r="F1099" s="4">
        <f t="shared" si="68"/>
        <v>1.9179482371378763E+50</v>
      </c>
      <c r="G1099" s="4">
        <f t="shared" si="69"/>
        <v>1.9179482371378763E+50</v>
      </c>
      <c r="H1099" s="4">
        <f>SalaryFTECount*SalaryPerFTE*(1+SalaryGrowth)^1097</f>
        <v>1.0181048480623577E+24</v>
      </c>
      <c r="I1099" s="4">
        <f>SimOpsY1*(1+SimOpsGrowth)^1097</f>
        <v>1.3898918998430074E+41</v>
      </c>
      <c r="J1099" s="4">
        <f>TrainDevY1*(1+TrainDevGrowth)^1097</f>
        <v>6.9494594992150369E+40</v>
      </c>
      <c r="K1099" s="4">
        <f>AdminY1*(1+AdminGrowth)^1097</f>
        <v>1.1522963629900907E+32</v>
      </c>
      <c r="L1099" s="4">
        <f t="shared" si="70"/>
        <v>2.0848378509168072E+41</v>
      </c>
      <c r="M1099" s="4">
        <f t="shared" si="71"/>
        <v>1.9179482350530383E+50</v>
      </c>
    </row>
    <row r="1100" spans="1:13" x14ac:dyDescent="0.2">
      <c r="A1100" s="3">
        <f>StartYear+1098</f>
        <v>3123</v>
      </c>
      <c r="B1100" s="4">
        <f>FacultyFTE*HoursPerWeek*WeeksPerYear*RatePerHour*(1+PracticeGrowth)^1098</f>
        <v>5.3118140893463489E+28</v>
      </c>
      <c r="C1100" s="4">
        <f>StudentsY1*(1+StudentGrowth)^1098*CreditsPerStudent*TuitionPerCredit</f>
        <v>3.3198838058414674E+29</v>
      </c>
      <c r="D1100" s="4">
        <f>SimRevY1*(1+SimGrowth)^1098</f>
        <v>1.4064953739011093E+50</v>
      </c>
      <c r="E1100" s="4">
        <f>FacDevRevY1*(1+FacDevGrowth)^1098</f>
        <v>7.0324768695055467E+49</v>
      </c>
      <c r="F1100" s="4">
        <f t="shared" si="68"/>
        <v>2.1097430608516638E+50</v>
      </c>
      <c r="G1100" s="4">
        <f t="shared" si="69"/>
        <v>2.1097430608516638E+50</v>
      </c>
      <c r="H1100" s="4">
        <f>SalaryFTECount*SalaryPerFTE*(1+SalaryGrowth)^1098</f>
        <v>1.058829041984852E+24</v>
      </c>
      <c r="I1100" s="4">
        <f>SimOpsY1*(1+SimOpsGrowth)^1098</f>
        <v>1.501083251830448E+41</v>
      </c>
      <c r="J1100" s="4">
        <f>TrainDevY1*(1+TrainDevGrowth)^1098</f>
        <v>7.5054162591522398E+40</v>
      </c>
      <c r="K1100" s="4">
        <f>AdminY1*(1+AdminGrowth)^1098</f>
        <v>1.2214341447694964E+32</v>
      </c>
      <c r="L1100" s="4">
        <f t="shared" si="70"/>
        <v>2.2516248789671062E+41</v>
      </c>
      <c r="M1100" s="4">
        <f t="shared" si="71"/>
        <v>2.1097430586000388E+50</v>
      </c>
    </row>
    <row r="1101" spans="1:13" x14ac:dyDescent="0.2">
      <c r="A1101" s="3">
        <f>StartYear+1099</f>
        <v>3124</v>
      </c>
      <c r="B1101" s="4">
        <f>FacultyFTE*HoursPerWeek*WeeksPerYear*RatePerHour*(1+PracticeGrowth)^1099</f>
        <v>5.5774047938136672E+28</v>
      </c>
      <c r="C1101" s="4">
        <f>StudentsY1*(1+StudentGrowth)^1099*CreditsPerStudent*TuitionPerCredit</f>
        <v>3.4858779961335422E+29</v>
      </c>
      <c r="D1101" s="4">
        <f>SimRevY1*(1+SimGrowth)^1099</f>
        <v>1.5471449112912203E+50</v>
      </c>
      <c r="E1101" s="4">
        <f>FacDevRevY1*(1+FacDevGrowth)^1099</f>
        <v>7.7357245564561013E+49</v>
      </c>
      <c r="F1101" s="4">
        <f t="shared" si="68"/>
        <v>2.3207173669368305E+50</v>
      </c>
      <c r="G1101" s="4">
        <f t="shared" si="69"/>
        <v>2.3207173669368305E+50</v>
      </c>
      <c r="H1101" s="4">
        <f>SalaryFTECount*SalaryPerFTE*(1+SalaryGrowth)^1099</f>
        <v>1.1011822036642459E+24</v>
      </c>
      <c r="I1101" s="4">
        <f>SimOpsY1*(1+SimOpsGrowth)^1099</f>
        <v>1.6211699119768839E+41</v>
      </c>
      <c r="J1101" s="4">
        <f>TrainDevY1*(1+TrainDevGrowth)^1099</f>
        <v>8.1058495598844196E+40</v>
      </c>
      <c r="K1101" s="4">
        <f>AdminY1*(1+AdminGrowth)^1099</f>
        <v>1.2947201934556663E+32</v>
      </c>
      <c r="L1101" s="4">
        <f t="shared" si="70"/>
        <v>2.4317548692600459E+41</v>
      </c>
      <c r="M1101" s="4">
        <f t="shared" si="71"/>
        <v>2.3207173645050756E+50</v>
      </c>
    </row>
    <row r="1102" spans="1:13" x14ac:dyDescent="0.2">
      <c r="A1102" s="3">
        <f>StartYear+1100</f>
        <v>3125</v>
      </c>
      <c r="B1102" s="4">
        <f>FacultyFTE*HoursPerWeek*WeeksPerYear*RatePerHour*(1+PracticeGrowth)^1100</f>
        <v>5.8562750335043499E+28</v>
      </c>
      <c r="C1102" s="4">
        <f>StudentsY1*(1+StudentGrowth)^1100*CreditsPerStudent*TuitionPerCredit</f>
        <v>3.6601718959402184E+29</v>
      </c>
      <c r="D1102" s="4">
        <f>SimRevY1*(1+SimGrowth)^1100</f>
        <v>1.7018594024203424E+50</v>
      </c>
      <c r="E1102" s="4">
        <f>FacDevRevY1*(1+FacDevGrowth)^1100</f>
        <v>8.5092970121017118E+49</v>
      </c>
      <c r="F1102" s="4">
        <f t="shared" si="68"/>
        <v>2.5527891036305136E+50</v>
      </c>
      <c r="G1102" s="4">
        <f t="shared" si="69"/>
        <v>2.5527891036305136E+50</v>
      </c>
      <c r="H1102" s="4">
        <f>SalaryFTECount*SalaryPerFTE*(1+SalaryGrowth)^1100</f>
        <v>1.1452294918108159E+24</v>
      </c>
      <c r="I1102" s="4">
        <f>SimOpsY1*(1+SimOpsGrowth)^1100</f>
        <v>1.7508635049350344E+41</v>
      </c>
      <c r="J1102" s="4">
        <f>TrainDevY1*(1+TrainDevGrowth)^1100</f>
        <v>8.7543175246751718E+40</v>
      </c>
      <c r="K1102" s="4">
        <f>AdminY1*(1+AdminGrowth)^1100</f>
        <v>1.3724034050630064E+32</v>
      </c>
      <c r="L1102" s="4">
        <f t="shared" si="70"/>
        <v>2.6262952587749553E+41</v>
      </c>
      <c r="M1102" s="4">
        <f t="shared" si="71"/>
        <v>2.5527891010042183E+50</v>
      </c>
    </row>
    <row r="1103" spans="1:13" x14ac:dyDescent="0.2">
      <c r="A1103" s="3">
        <f>StartYear+1101</f>
        <v>3126</v>
      </c>
      <c r="B1103" s="4">
        <f>FacultyFTE*HoursPerWeek*WeeksPerYear*RatePerHour*(1+PracticeGrowth)^1101</f>
        <v>6.1490887851795689E+28</v>
      </c>
      <c r="C1103" s="4">
        <f>StudentsY1*(1+StudentGrowth)^1101*CreditsPerStudent*TuitionPerCredit</f>
        <v>3.843180490737231E+29</v>
      </c>
      <c r="D1103" s="4">
        <f>SimRevY1*(1+SimGrowth)^1101</f>
        <v>1.8720453426623768E+50</v>
      </c>
      <c r="E1103" s="4">
        <f>FacDevRevY1*(1+FacDevGrowth)^1101</f>
        <v>9.3602267133118839E+49</v>
      </c>
      <c r="F1103" s="4">
        <f t="shared" si="68"/>
        <v>2.8080680139935654E+50</v>
      </c>
      <c r="G1103" s="4">
        <f t="shared" si="69"/>
        <v>2.8080680139935654E+50</v>
      </c>
      <c r="H1103" s="4">
        <f>SalaryFTECount*SalaryPerFTE*(1+SalaryGrowth)^1101</f>
        <v>1.1910386714832488E+24</v>
      </c>
      <c r="I1103" s="4">
        <f>SimOpsY1*(1+SimOpsGrowth)^1101</f>
        <v>1.8909325853298372E+41</v>
      </c>
      <c r="J1103" s="4">
        <f>TrainDevY1*(1+TrainDevGrowth)^1101</f>
        <v>9.4546629266491862E+40</v>
      </c>
      <c r="K1103" s="4">
        <f>AdminY1*(1+AdminGrowth)^1101</f>
        <v>1.454747609366787E+32</v>
      </c>
      <c r="L1103" s="4">
        <f t="shared" si="70"/>
        <v>2.8363988794495031E+41</v>
      </c>
      <c r="M1103" s="4">
        <f t="shared" si="71"/>
        <v>2.8080680111571665E+50</v>
      </c>
    </row>
    <row r="1104" spans="1:13" x14ac:dyDescent="0.2">
      <c r="A1104" s="3">
        <f>StartYear+1102</f>
        <v>3127</v>
      </c>
      <c r="B1104" s="4">
        <f>FacultyFTE*HoursPerWeek*WeeksPerYear*RatePerHour*(1+PracticeGrowth)^1102</f>
        <v>6.4565432244385444E+28</v>
      </c>
      <c r="C1104" s="4">
        <f>StudentsY1*(1+StudentGrowth)^1102*CreditsPerStudent*TuitionPerCredit</f>
        <v>4.0353395152740907E+29</v>
      </c>
      <c r="D1104" s="4">
        <f>SimRevY1*(1+SimGrowth)^1102</f>
        <v>2.0592498769286145E+50</v>
      </c>
      <c r="E1104" s="4">
        <f>FacDevRevY1*(1+FacDevGrowth)^1102</f>
        <v>1.0296249384643073E+50</v>
      </c>
      <c r="F1104" s="4">
        <f t="shared" si="68"/>
        <v>3.0888748153929218E+50</v>
      </c>
      <c r="G1104" s="4">
        <f t="shared" si="69"/>
        <v>3.0888748153929218E+50</v>
      </c>
      <c r="H1104" s="4">
        <f>SalaryFTECount*SalaryPerFTE*(1+SalaryGrowth)^1102</f>
        <v>1.2386802183425787E+24</v>
      </c>
      <c r="I1104" s="4">
        <f>SimOpsY1*(1+SimOpsGrowth)^1102</f>
        <v>2.0422071921562247E+41</v>
      </c>
      <c r="J1104" s="4">
        <f>TrainDevY1*(1+TrainDevGrowth)^1102</f>
        <v>1.0211035960781123E+41</v>
      </c>
      <c r="K1104" s="4">
        <f>AdminY1*(1+AdminGrowth)^1102</f>
        <v>1.5420324659287942E+32</v>
      </c>
      <c r="L1104" s="4">
        <f t="shared" si="70"/>
        <v>3.0633107897763693E+41</v>
      </c>
      <c r="M1104" s="4">
        <f t="shared" si="71"/>
        <v>3.0888748123296112E+50</v>
      </c>
    </row>
    <row r="1105" spans="1:13" x14ac:dyDescent="0.2">
      <c r="A1105" s="3">
        <f>StartYear+1103</f>
        <v>3128</v>
      </c>
      <c r="B1105" s="4">
        <f>FacultyFTE*HoursPerWeek*WeeksPerYear*RatePerHour*(1+PracticeGrowth)^1103</f>
        <v>6.7793703856604741E+28</v>
      </c>
      <c r="C1105" s="4">
        <f>StudentsY1*(1+StudentGrowth)^1103*CreditsPerStudent*TuitionPerCredit</f>
        <v>4.237106491037796E+29</v>
      </c>
      <c r="D1105" s="4">
        <f>SimRevY1*(1+SimGrowth)^1103</f>
        <v>2.2651748646214761E+50</v>
      </c>
      <c r="E1105" s="4">
        <f>FacDevRevY1*(1+FacDevGrowth)^1103</f>
        <v>1.1325874323107381E+50</v>
      </c>
      <c r="F1105" s="4">
        <f t="shared" si="68"/>
        <v>3.397762296932214E+50</v>
      </c>
      <c r="G1105" s="4">
        <f t="shared" si="69"/>
        <v>3.397762296932214E+50</v>
      </c>
      <c r="H1105" s="4">
        <f>SalaryFTECount*SalaryPerFTE*(1+SalaryGrowth)^1103</f>
        <v>1.2882274270762819E+24</v>
      </c>
      <c r="I1105" s="4">
        <f>SimOpsY1*(1+SimOpsGrowth)^1103</f>
        <v>2.205583767528723E+41</v>
      </c>
      <c r="J1105" s="4">
        <f>TrainDevY1*(1+TrainDevGrowth)^1103</f>
        <v>1.1027918837643615E+41</v>
      </c>
      <c r="K1105" s="4">
        <f>AdminY1*(1+AdminGrowth)^1103</f>
        <v>1.634554413884522E+32</v>
      </c>
      <c r="L1105" s="4">
        <f t="shared" si="70"/>
        <v>3.3083756529276391E+41</v>
      </c>
      <c r="M1105" s="4">
        <f t="shared" si="71"/>
        <v>3.3977622936238382E+50</v>
      </c>
    </row>
    <row r="1106" spans="1:13" x14ac:dyDescent="0.2">
      <c r="A1106" s="3">
        <f>StartYear+1104</f>
        <v>3129</v>
      </c>
      <c r="B1106" s="4">
        <f>FacultyFTE*HoursPerWeek*WeeksPerYear*RatePerHour*(1+PracticeGrowth)^1104</f>
        <v>7.1183389049434979E+28</v>
      </c>
      <c r="C1106" s="4">
        <f>StudentsY1*(1+StudentGrowth)^1104*CreditsPerStudent*TuitionPerCredit</f>
        <v>4.4489618155896862E+29</v>
      </c>
      <c r="D1106" s="4">
        <f>SimRevY1*(1+SimGrowth)^1104</f>
        <v>2.4916923510836235E+50</v>
      </c>
      <c r="E1106" s="4">
        <f>FacDevRevY1*(1+FacDevGrowth)^1104</f>
        <v>1.2458461755418118E+50</v>
      </c>
      <c r="F1106" s="4">
        <f t="shared" si="68"/>
        <v>3.7375385266254353E+50</v>
      </c>
      <c r="G1106" s="4">
        <f t="shared" si="69"/>
        <v>3.7375385266254353E+50</v>
      </c>
      <c r="H1106" s="4">
        <f>SalaryFTECount*SalaryPerFTE*(1+SalaryGrowth)^1104</f>
        <v>1.3397565241593335E+24</v>
      </c>
      <c r="I1106" s="4">
        <f>SimOpsY1*(1+SimOpsGrowth)^1104</f>
        <v>2.3820304689310205E+41</v>
      </c>
      <c r="J1106" s="4">
        <f>TrainDevY1*(1+TrainDevGrowth)^1104</f>
        <v>1.1910152344655102E+41</v>
      </c>
      <c r="K1106" s="4">
        <f>AdminY1*(1+AdminGrowth)^1104</f>
        <v>1.7326276787175929E+32</v>
      </c>
      <c r="L1106" s="4">
        <f t="shared" si="70"/>
        <v>3.5730457051291586E+41</v>
      </c>
      <c r="M1106" s="4">
        <f t="shared" si="71"/>
        <v>3.7375385230523894E+50</v>
      </c>
    </row>
    <row r="1107" spans="1:13" x14ac:dyDescent="0.2">
      <c r="A1107" s="3">
        <f>StartYear+1105</f>
        <v>3130</v>
      </c>
      <c r="B1107" s="4">
        <f>FacultyFTE*HoursPerWeek*WeeksPerYear*RatePerHour*(1+PracticeGrowth)^1105</f>
        <v>7.4742558501906739E+28</v>
      </c>
      <c r="C1107" s="4">
        <f>StudentsY1*(1+StudentGrowth)^1105*CreditsPerStudent*TuitionPerCredit</f>
        <v>4.6714099063691707E+29</v>
      </c>
      <c r="D1107" s="4">
        <f>SimRevY1*(1+SimGrowth)^1105</f>
        <v>2.7408615861919863E+50</v>
      </c>
      <c r="E1107" s="4">
        <f>FacDevRevY1*(1+FacDevGrowth)^1105</f>
        <v>1.3704307930959931E+50</v>
      </c>
      <c r="F1107" s="4">
        <f t="shared" si="68"/>
        <v>4.1112923792879794E+50</v>
      </c>
      <c r="G1107" s="4">
        <f t="shared" si="69"/>
        <v>4.1112923792879794E+50</v>
      </c>
      <c r="H1107" s="4">
        <f>SalaryFTECount*SalaryPerFTE*(1+SalaryGrowth)^1105</f>
        <v>1.3933467851257066E+24</v>
      </c>
      <c r="I1107" s="4">
        <f>SimOpsY1*(1+SimOpsGrowth)^1105</f>
        <v>2.572592906445502E+41</v>
      </c>
      <c r="J1107" s="4">
        <f>TrainDevY1*(1+TrainDevGrowth)^1105</f>
        <v>1.286296453222751E+41</v>
      </c>
      <c r="K1107" s="4">
        <f>AdminY1*(1+AdminGrowth)^1105</f>
        <v>1.8365853394406491E+32</v>
      </c>
      <c r="L1107" s="4">
        <f t="shared" si="70"/>
        <v>3.8588893615048384E+41</v>
      </c>
      <c r="M1107" s="4">
        <f t="shared" si="71"/>
        <v>4.1112923754290902E+50</v>
      </c>
    </row>
    <row r="1108" spans="1:13" x14ac:dyDescent="0.2">
      <c r="A1108" s="3">
        <f>StartYear+1106</f>
        <v>3131</v>
      </c>
      <c r="B1108" s="4">
        <f>FacultyFTE*HoursPerWeek*WeeksPerYear*RatePerHour*(1+PracticeGrowth)^1106</f>
        <v>7.8479686427002075E+28</v>
      </c>
      <c r="C1108" s="4">
        <f>StudentsY1*(1+StudentGrowth)^1106*CreditsPerStudent*TuitionPerCredit</f>
        <v>4.9049804016876296E+29</v>
      </c>
      <c r="D1108" s="4">
        <f>SimRevY1*(1+SimGrowth)^1106</f>
        <v>3.0149477448111852E+50</v>
      </c>
      <c r="E1108" s="4">
        <f>FacDevRevY1*(1+FacDevGrowth)^1106</f>
        <v>1.5074738724055926E+50</v>
      </c>
      <c r="F1108" s="4">
        <f t="shared" si="68"/>
        <v>4.522421617216778E+50</v>
      </c>
      <c r="G1108" s="4">
        <f t="shared" si="69"/>
        <v>4.522421617216778E+50</v>
      </c>
      <c r="H1108" s="4">
        <f>SalaryFTECount*SalaryPerFTE*(1+SalaryGrowth)^1106</f>
        <v>1.449080656530735E+24</v>
      </c>
      <c r="I1108" s="4">
        <f>SimOpsY1*(1+SimOpsGrowth)^1106</f>
        <v>2.7784003389611429E+41</v>
      </c>
      <c r="J1108" s="4">
        <f>TrainDevY1*(1+TrainDevGrowth)^1106</f>
        <v>1.3892001694805715E+41</v>
      </c>
      <c r="K1108" s="4">
        <f>AdminY1*(1+AdminGrowth)^1106</f>
        <v>1.9467804598070882E+32</v>
      </c>
      <c r="L1108" s="4">
        <f t="shared" si="70"/>
        <v>4.1676005103884952E+41</v>
      </c>
      <c r="M1108" s="4">
        <f t="shared" si="71"/>
        <v>4.5224216130491771E+50</v>
      </c>
    </row>
    <row r="1109" spans="1:13" x14ac:dyDescent="0.2">
      <c r="A1109" s="3">
        <f>StartYear+1107</f>
        <v>3132</v>
      </c>
      <c r="B1109" s="4">
        <f>FacultyFTE*HoursPerWeek*WeeksPerYear*RatePerHour*(1+PracticeGrowth)^1107</f>
        <v>8.240367074835218E+28</v>
      </c>
      <c r="C1109" s="4">
        <f>StudentsY1*(1+StudentGrowth)^1107*CreditsPerStudent*TuitionPerCredit</f>
        <v>5.1502294217720116E+29</v>
      </c>
      <c r="D1109" s="4">
        <f>SimRevY1*(1+SimGrowth)^1107</f>
        <v>3.3164425192923047E+50</v>
      </c>
      <c r="E1109" s="4">
        <f>FacDevRevY1*(1+FacDevGrowth)^1107</f>
        <v>1.6582212596461524E+50</v>
      </c>
      <c r="F1109" s="4">
        <f t="shared" si="68"/>
        <v>4.9746637789384571E+50</v>
      </c>
      <c r="G1109" s="4">
        <f t="shared" si="69"/>
        <v>4.9746637789384571E+50</v>
      </c>
      <c r="H1109" s="4">
        <f>SalaryFTECount*SalaryPerFTE*(1+SalaryGrowth)^1107</f>
        <v>1.5070438827919644E+24</v>
      </c>
      <c r="I1109" s="4">
        <f>SimOpsY1*(1+SimOpsGrowth)^1107</f>
        <v>3.0006723660780345E+41</v>
      </c>
      <c r="J1109" s="4">
        <f>TrainDevY1*(1+TrainDevGrowth)^1107</f>
        <v>1.5003361830390173E+41</v>
      </c>
      <c r="K1109" s="4">
        <f>AdminY1*(1+AdminGrowth)^1107</f>
        <v>2.0635872873955135E+32</v>
      </c>
      <c r="L1109" s="4">
        <f t="shared" si="70"/>
        <v>4.5010085511806391E+41</v>
      </c>
      <c r="M1109" s="4">
        <f t="shared" si="71"/>
        <v>4.9746637744374485E+50</v>
      </c>
    </row>
    <row r="1110" spans="1:13" x14ac:dyDescent="0.2">
      <c r="A1110" s="3">
        <f>StartYear+1108</f>
        <v>3133</v>
      </c>
      <c r="B1110" s="4">
        <f>FacultyFTE*HoursPerWeek*WeeksPerYear*RatePerHour*(1+PracticeGrowth)^1108</f>
        <v>8.6523854285769792E+28</v>
      </c>
      <c r="C1110" s="4">
        <f>StudentsY1*(1+StudentGrowth)^1108*CreditsPerStudent*TuitionPerCredit</f>
        <v>5.4077408928606112E+29</v>
      </c>
      <c r="D1110" s="4">
        <f>SimRevY1*(1+SimGrowth)^1108</f>
        <v>3.6480867712215345E+50</v>
      </c>
      <c r="E1110" s="4">
        <f>FacDevRevY1*(1+FacDevGrowth)^1108</f>
        <v>1.8240433856107673E+50</v>
      </c>
      <c r="F1110" s="4">
        <f t="shared" si="68"/>
        <v>5.4721301568323014E+50</v>
      </c>
      <c r="G1110" s="4">
        <f t="shared" si="69"/>
        <v>5.4721301568323014E+50</v>
      </c>
      <c r="H1110" s="4">
        <f>SalaryFTECount*SalaryPerFTE*(1+SalaryGrowth)^1108</f>
        <v>1.5673256381036432E+24</v>
      </c>
      <c r="I1110" s="4">
        <f>SimOpsY1*(1+SimOpsGrowth)^1108</f>
        <v>3.240726155364277E+41</v>
      </c>
      <c r="J1110" s="4">
        <f>TrainDevY1*(1+TrainDevGrowth)^1108</f>
        <v>1.6203630776821385E+41</v>
      </c>
      <c r="K1110" s="4">
        <f>AdminY1*(1+AdminGrowth)^1108</f>
        <v>2.1874025246392442E+32</v>
      </c>
      <c r="L1110" s="4">
        <f t="shared" si="70"/>
        <v>4.8610892352338188E+41</v>
      </c>
      <c r="M1110" s="4">
        <f t="shared" si="71"/>
        <v>5.4721301519712124E+50</v>
      </c>
    </row>
    <row r="1111" spans="1:13" x14ac:dyDescent="0.2">
      <c r="A1111" s="3">
        <f>StartYear+1109</f>
        <v>3134</v>
      </c>
      <c r="B1111" s="4">
        <f>FacultyFTE*HoursPerWeek*WeeksPerYear*RatePerHour*(1+PracticeGrowth)^1109</f>
        <v>9.0850047000058255E+28</v>
      </c>
      <c r="C1111" s="4">
        <f>StudentsY1*(1+StudentGrowth)^1109*CreditsPerStudent*TuitionPerCredit</f>
        <v>5.6781279375036414E+29</v>
      </c>
      <c r="D1111" s="4">
        <f>SimRevY1*(1+SimGrowth)^1109</f>
        <v>4.0128954483436886E+50</v>
      </c>
      <c r="E1111" s="4">
        <f>FacDevRevY1*(1+FacDevGrowth)^1109</f>
        <v>2.0064477241718443E+50</v>
      </c>
      <c r="F1111" s="4">
        <f t="shared" si="68"/>
        <v>6.0193431725155328E+50</v>
      </c>
      <c r="G1111" s="4">
        <f t="shared" si="69"/>
        <v>6.0193431725155328E+50</v>
      </c>
      <c r="H1111" s="4">
        <f>SalaryFTECount*SalaryPerFTE*(1+SalaryGrowth)^1109</f>
        <v>1.6300186636277892E+24</v>
      </c>
      <c r="I1111" s="4">
        <f>SimOpsY1*(1+SimOpsGrowth)^1109</f>
        <v>3.499984247793419E+41</v>
      </c>
      <c r="J1111" s="4">
        <f>TrainDevY1*(1+TrainDevGrowth)^1109</f>
        <v>1.7499921238967095E+41</v>
      </c>
      <c r="K1111" s="4">
        <f>AdminY1*(1+AdminGrowth)^1109</f>
        <v>2.3186466761175993E+32</v>
      </c>
      <c r="L1111" s="4">
        <f t="shared" si="70"/>
        <v>5.2499763740087755E+41</v>
      </c>
      <c r="M1111" s="4">
        <f t="shared" si="71"/>
        <v>6.0193431672655566E+50</v>
      </c>
    </row>
    <row r="1112" spans="1:13" x14ac:dyDescent="0.2">
      <c r="A1112" s="3">
        <f>StartYear+1110</f>
        <v>3135</v>
      </c>
      <c r="B1112" s="4">
        <f>FacultyFTE*HoursPerWeek*WeeksPerYear*RatePerHour*(1+PracticeGrowth)^1110</f>
        <v>9.539254935006118E+28</v>
      </c>
      <c r="C1112" s="4">
        <f>StudentsY1*(1+StudentGrowth)^1110*CreditsPerStudent*TuitionPerCredit</f>
        <v>5.9620343343788239E+29</v>
      </c>
      <c r="D1112" s="4">
        <f>SimRevY1*(1+SimGrowth)^1110</f>
        <v>4.4141849931780574E+50</v>
      </c>
      <c r="E1112" s="4">
        <f>FacDevRevY1*(1+FacDevGrowth)^1110</f>
        <v>2.2070924965890287E+50</v>
      </c>
      <c r="F1112" s="4">
        <f t="shared" si="68"/>
        <v>6.6212774897670861E+50</v>
      </c>
      <c r="G1112" s="4">
        <f t="shared" si="69"/>
        <v>6.6212774897670861E+50</v>
      </c>
      <c r="H1112" s="4">
        <f>SalaryFTECount*SalaryPerFTE*(1+SalaryGrowth)^1110</f>
        <v>1.6952194101729007E+24</v>
      </c>
      <c r="I1112" s="4">
        <f>SimOpsY1*(1+SimOpsGrowth)^1110</f>
        <v>3.7799829876168929E+41</v>
      </c>
      <c r="J1112" s="4">
        <f>TrainDevY1*(1+TrainDevGrowth)^1110</f>
        <v>1.8899914938084465E+41</v>
      </c>
      <c r="K1112" s="4">
        <f>AdminY1*(1+AdminGrowth)^1110</f>
        <v>2.4577654766846556E+32</v>
      </c>
      <c r="L1112" s="4">
        <f t="shared" si="70"/>
        <v>5.6699744838831045E+41</v>
      </c>
      <c r="M1112" s="4">
        <f t="shared" si="71"/>
        <v>6.6212774840971113E+50</v>
      </c>
    </row>
    <row r="1113" spans="1:13" x14ac:dyDescent="0.2">
      <c r="A1113" s="3">
        <f>StartYear+1111</f>
        <v>3136</v>
      </c>
      <c r="B1113" s="4">
        <f>FacultyFTE*HoursPerWeek*WeeksPerYear*RatePerHour*(1+PracticeGrowth)^1111</f>
        <v>1.0016217681756425E+29</v>
      </c>
      <c r="C1113" s="4">
        <f>StudentsY1*(1+StudentGrowth)^1111*CreditsPerStudent*TuitionPerCredit</f>
        <v>6.260136051097766E+29</v>
      </c>
      <c r="D1113" s="4">
        <f>SimRevY1*(1+SimGrowth)^1111</f>
        <v>4.8556034924958638E+50</v>
      </c>
      <c r="E1113" s="4">
        <f>FacDevRevY1*(1+FacDevGrowth)^1111</f>
        <v>2.4278017462479319E+50</v>
      </c>
      <c r="F1113" s="4">
        <f t="shared" si="68"/>
        <v>7.2834052387437957E+50</v>
      </c>
      <c r="G1113" s="4">
        <f t="shared" si="69"/>
        <v>7.2834052387437957E+50</v>
      </c>
      <c r="H1113" s="4">
        <f>SalaryFTECount*SalaryPerFTE*(1+SalaryGrowth)^1111</f>
        <v>1.7630281865798166E+24</v>
      </c>
      <c r="I1113" s="4">
        <f>SimOpsY1*(1+SimOpsGrowth)^1111</f>
        <v>4.0823816266262446E+41</v>
      </c>
      <c r="J1113" s="4">
        <f>TrainDevY1*(1+TrainDevGrowth)^1111</f>
        <v>2.0411908133131223E+41</v>
      </c>
      <c r="K1113" s="4">
        <f>AdminY1*(1+AdminGrowth)^1111</f>
        <v>2.6052314052857352E+32</v>
      </c>
      <c r="L1113" s="4">
        <f t="shared" si="70"/>
        <v>6.123572442544599E+41</v>
      </c>
      <c r="M1113" s="4">
        <f t="shared" si="71"/>
        <v>7.2834052326202235E+50</v>
      </c>
    </row>
    <row r="1114" spans="1:13" x14ac:dyDescent="0.2">
      <c r="A1114" s="3">
        <f>StartYear+1112</f>
        <v>3137</v>
      </c>
      <c r="B1114" s="4">
        <f>FacultyFTE*HoursPerWeek*WeeksPerYear*RatePerHour*(1+PracticeGrowth)^1112</f>
        <v>1.0517028565844246E+29</v>
      </c>
      <c r="C1114" s="4">
        <f>StudentsY1*(1+StudentGrowth)^1112*CreditsPerStudent*TuitionPerCredit</f>
        <v>6.5731428536526545E+29</v>
      </c>
      <c r="D1114" s="4">
        <f>SimRevY1*(1+SimGrowth)^1112</f>
        <v>5.34116384174545E+50</v>
      </c>
      <c r="E1114" s="4">
        <f>FacDevRevY1*(1+FacDevGrowth)^1112</f>
        <v>2.670581920872725E+50</v>
      </c>
      <c r="F1114" s="4">
        <f t="shared" si="68"/>
        <v>8.0117457626181751E+50</v>
      </c>
      <c r="G1114" s="4">
        <f t="shared" si="69"/>
        <v>8.0117457626181751E+50</v>
      </c>
      <c r="H1114" s="4">
        <f>SalaryFTECount*SalaryPerFTE*(1+SalaryGrowth)^1112</f>
        <v>1.8335493140430093E+24</v>
      </c>
      <c r="I1114" s="4">
        <f>SimOpsY1*(1+SimOpsGrowth)^1112</f>
        <v>4.4089721567563447E+41</v>
      </c>
      <c r="J1114" s="4">
        <f>TrainDevY1*(1+TrainDevGrowth)^1112</f>
        <v>2.2044860783781724E+41</v>
      </c>
      <c r="K1114" s="4">
        <f>AdminY1*(1+AdminGrowth)^1112</f>
        <v>2.7615452896028792E+32</v>
      </c>
      <c r="L1114" s="4">
        <f t="shared" si="70"/>
        <v>6.6134582378960627E+41</v>
      </c>
      <c r="M1114" s="4">
        <f t="shared" si="71"/>
        <v>8.0117457560047175E+50</v>
      </c>
    </row>
    <row r="1115" spans="1:13" x14ac:dyDescent="0.2">
      <c r="A1115" s="3">
        <f>StartYear+1113</f>
        <v>3138</v>
      </c>
      <c r="B1115" s="4">
        <f>FacultyFTE*HoursPerWeek*WeeksPerYear*RatePerHour*(1+PracticeGrowth)^1113</f>
        <v>1.1042879994136459E+29</v>
      </c>
      <c r="C1115" s="4">
        <f>StudentsY1*(1+StudentGrowth)^1113*CreditsPerStudent*TuitionPerCredit</f>
        <v>6.9017999963352866E+29</v>
      </c>
      <c r="D1115" s="4">
        <f>SimRevY1*(1+SimGrowth)^1113</f>
        <v>5.8752802259199962E+50</v>
      </c>
      <c r="E1115" s="4">
        <f>FacDevRevY1*(1+FacDevGrowth)^1113</f>
        <v>2.9376401129599981E+50</v>
      </c>
      <c r="F1115" s="4">
        <f t="shared" si="68"/>
        <v>8.8129203388799947E+50</v>
      </c>
      <c r="G1115" s="4">
        <f t="shared" si="69"/>
        <v>8.8129203388799947E+50</v>
      </c>
      <c r="H1115" s="4">
        <f>SalaryFTECount*SalaryPerFTE*(1+SalaryGrowth)^1113</f>
        <v>1.90689128660473E+24</v>
      </c>
      <c r="I1115" s="4">
        <f>SimOpsY1*(1+SimOpsGrowth)^1113</f>
        <v>4.7616899292968526E+41</v>
      </c>
      <c r="J1115" s="4">
        <f>TrainDevY1*(1+TrainDevGrowth)^1113</f>
        <v>2.3808449646484263E+41</v>
      </c>
      <c r="K1115" s="4">
        <f>AdminY1*(1+AdminGrowth)^1113</f>
        <v>2.9272380069790515E+32</v>
      </c>
      <c r="L1115" s="4">
        <f t="shared" si="70"/>
        <v>7.1425348968725174E+41</v>
      </c>
      <c r="M1115" s="4">
        <f t="shared" si="71"/>
        <v>8.8129203317374595E+50</v>
      </c>
    </row>
    <row r="1116" spans="1:13" x14ac:dyDescent="0.2">
      <c r="A1116" s="3">
        <f>StartYear+1114</f>
        <v>3139</v>
      </c>
      <c r="B1116" s="4">
        <f>FacultyFTE*HoursPerWeek*WeeksPerYear*RatePerHour*(1+PracticeGrowth)^1114</f>
        <v>1.159502399384328E+29</v>
      </c>
      <c r="C1116" s="4">
        <f>StudentsY1*(1+StudentGrowth)^1114*CreditsPerStudent*TuitionPerCredit</f>
        <v>7.2468899961520507E+29</v>
      </c>
      <c r="D1116" s="4">
        <f>SimRevY1*(1+SimGrowth)^1114</f>
        <v>6.4628082485119964E+50</v>
      </c>
      <c r="E1116" s="4">
        <f>FacDevRevY1*(1+FacDevGrowth)^1114</f>
        <v>3.2314041242559982E+50</v>
      </c>
      <c r="F1116" s="4">
        <f t="shared" si="68"/>
        <v>9.6942123727679942E+50</v>
      </c>
      <c r="G1116" s="4">
        <f t="shared" si="69"/>
        <v>9.6942123727679942E+50</v>
      </c>
      <c r="H1116" s="4">
        <f>SalaryFTECount*SalaryPerFTE*(1+SalaryGrowth)^1114</f>
        <v>1.9831669380689189E+24</v>
      </c>
      <c r="I1116" s="4">
        <f>SimOpsY1*(1+SimOpsGrowth)^1114</f>
        <v>5.1426251236406007E+41</v>
      </c>
      <c r="J1116" s="4">
        <f>TrainDevY1*(1+TrainDevGrowth)^1114</f>
        <v>2.5713125618203003E+41</v>
      </c>
      <c r="K1116" s="4">
        <f>AdminY1*(1+AdminGrowth)^1114</f>
        <v>3.102872287397795E+32</v>
      </c>
      <c r="L1116" s="4">
        <f t="shared" si="70"/>
        <v>7.7139376885637734E+41</v>
      </c>
      <c r="M1116" s="4">
        <f t="shared" si="71"/>
        <v>9.6942123650540571E+50</v>
      </c>
    </row>
    <row r="1117" spans="1:13" x14ac:dyDescent="0.2">
      <c r="A1117" s="3">
        <f>StartYear+1115</f>
        <v>3140</v>
      </c>
      <c r="B1117" s="4">
        <f>FacultyFTE*HoursPerWeek*WeeksPerYear*RatePerHour*(1+PracticeGrowth)^1115</f>
        <v>1.2174775193535447E+29</v>
      </c>
      <c r="C1117" s="4">
        <f>StudentsY1*(1+StudentGrowth)^1115*CreditsPerStudent*TuitionPerCredit</f>
        <v>7.6092344959596546E+29</v>
      </c>
      <c r="D1117" s="4">
        <f>SimRevY1*(1+SimGrowth)^1115</f>
        <v>7.1090890733631961E+50</v>
      </c>
      <c r="E1117" s="4">
        <f>FacDevRevY1*(1+FacDevGrowth)^1115</f>
        <v>3.5545445366815981E+50</v>
      </c>
      <c r="F1117" s="4">
        <f t="shared" si="68"/>
        <v>1.0663633610044795E+51</v>
      </c>
      <c r="G1117" s="4">
        <f t="shared" si="69"/>
        <v>1.0663633610044795E+51</v>
      </c>
      <c r="H1117" s="4">
        <f>SalaryFTECount*SalaryPerFTE*(1+SalaryGrowth)^1115</f>
        <v>2.062493615591676E+24</v>
      </c>
      <c r="I1117" s="4">
        <f>SimOpsY1*(1+SimOpsGrowth)^1115</f>
        <v>5.5540351335318482E+41</v>
      </c>
      <c r="J1117" s="4">
        <f>TrainDevY1*(1+TrainDevGrowth)^1115</f>
        <v>2.7770175667659241E+41</v>
      </c>
      <c r="K1117" s="4">
        <f>AdminY1*(1+AdminGrowth)^1115</f>
        <v>3.2890446246416632E+32</v>
      </c>
      <c r="L1117" s="4">
        <f t="shared" si="70"/>
        <v>8.3310527035868169E+41</v>
      </c>
      <c r="M1117" s="4">
        <f t="shared" si="71"/>
        <v>1.0663633601713742E+51</v>
      </c>
    </row>
    <row r="1118" spans="1:13" x14ac:dyDescent="0.2">
      <c r="A1118" s="3">
        <f>StartYear+1116</f>
        <v>3141</v>
      </c>
      <c r="B1118" s="4">
        <f>FacultyFTE*HoursPerWeek*WeeksPerYear*RatePerHour*(1+PracticeGrowth)^1116</f>
        <v>1.2783513953212216E+29</v>
      </c>
      <c r="C1118" s="4">
        <f>StudentsY1*(1+StudentGrowth)^1116*CreditsPerStudent*TuitionPerCredit</f>
        <v>7.9896962207576345E+29</v>
      </c>
      <c r="D1118" s="4">
        <f>SimRevY1*(1+SimGrowth)^1116</f>
        <v>7.8199979806995158E+50</v>
      </c>
      <c r="E1118" s="4">
        <f>FacDevRevY1*(1+FacDevGrowth)^1116</f>
        <v>3.9099989903497579E+50</v>
      </c>
      <c r="F1118" s="4">
        <f t="shared" si="68"/>
        <v>1.1729996971049274E+51</v>
      </c>
      <c r="G1118" s="4">
        <f t="shared" si="69"/>
        <v>1.1729996971049274E+51</v>
      </c>
      <c r="H1118" s="4">
        <f>SalaryFTECount*SalaryPerFTE*(1+SalaryGrowth)^1116</f>
        <v>2.1449933602153433E+24</v>
      </c>
      <c r="I1118" s="4">
        <f>SimOpsY1*(1+SimOpsGrowth)^1116</f>
        <v>5.9983579442143969E+41</v>
      </c>
      <c r="J1118" s="4">
        <f>TrainDevY1*(1+TrainDevGrowth)^1116</f>
        <v>2.9991789721071985E+41</v>
      </c>
      <c r="K1118" s="4">
        <f>AdminY1*(1+AdminGrowth)^1116</f>
        <v>3.4863873021201634E+32</v>
      </c>
      <c r="L1118" s="4">
        <f t="shared" si="70"/>
        <v>8.9975369198079823E+41</v>
      </c>
      <c r="M1118" s="4">
        <f t="shared" si="71"/>
        <v>1.1729996962051736E+51</v>
      </c>
    </row>
    <row r="1119" spans="1:13" x14ac:dyDescent="0.2">
      <c r="A1119" s="3">
        <f>StartYear+1117</f>
        <v>3142</v>
      </c>
      <c r="B1119" s="4">
        <f>FacultyFTE*HoursPerWeek*WeeksPerYear*RatePerHour*(1+PracticeGrowth)^1117</f>
        <v>1.342268965087283E+29</v>
      </c>
      <c r="C1119" s="4">
        <f>StudentsY1*(1+StudentGrowth)^1117*CreditsPerStudent*TuitionPerCredit</f>
        <v>8.3891810317955189E+29</v>
      </c>
      <c r="D1119" s="4">
        <f>SimRevY1*(1+SimGrowth)^1117</f>
        <v>8.6019977787694681E+50</v>
      </c>
      <c r="E1119" s="4">
        <f>FacDevRevY1*(1+FacDevGrowth)^1117</f>
        <v>4.300998889384734E+50</v>
      </c>
      <c r="F1119" s="4">
        <f t="shared" si="68"/>
        <v>1.2902996668154202E+51</v>
      </c>
      <c r="G1119" s="4">
        <f t="shared" si="69"/>
        <v>1.2902996668154202E+51</v>
      </c>
      <c r="H1119" s="4">
        <f>SalaryFTECount*SalaryPerFTE*(1+SalaryGrowth)^1117</f>
        <v>2.2307930946239571E+24</v>
      </c>
      <c r="I1119" s="4">
        <f>SimOpsY1*(1+SimOpsGrowth)^1117</f>
        <v>6.4782265797515486E+41</v>
      </c>
      <c r="J1119" s="4">
        <f>TrainDevY1*(1+TrainDevGrowth)^1117</f>
        <v>3.2391132898757743E+41</v>
      </c>
      <c r="K1119" s="4">
        <f>AdminY1*(1+AdminGrowth)^1117</f>
        <v>3.6955705402473731E+32</v>
      </c>
      <c r="L1119" s="4">
        <f t="shared" si="70"/>
        <v>9.7173398733228923E+41</v>
      </c>
      <c r="M1119" s="4">
        <f t="shared" si="71"/>
        <v>1.2902996658436863E+51</v>
      </c>
    </row>
    <row r="1120" spans="1:13" x14ac:dyDescent="0.2">
      <c r="A1120" s="3">
        <f>StartYear+1118</f>
        <v>3143</v>
      </c>
      <c r="B1120" s="4">
        <f>FacultyFTE*HoursPerWeek*WeeksPerYear*RatePerHour*(1+PracticeGrowth)^1118</f>
        <v>1.4093824133416467E+29</v>
      </c>
      <c r="C1120" s="4">
        <f>StudentsY1*(1+StudentGrowth)^1118*CreditsPerStudent*TuitionPerCredit</f>
        <v>8.8086400833852928E+29</v>
      </c>
      <c r="D1120" s="4">
        <f>SimRevY1*(1+SimGrowth)^1118</f>
        <v>9.4621975566464182E+50</v>
      </c>
      <c r="E1120" s="4">
        <f>FacDevRevY1*(1+FacDevGrowth)^1118</f>
        <v>4.7310987783232091E+50</v>
      </c>
      <c r="F1120" s="4">
        <f t="shared" si="68"/>
        <v>1.4193296334969627E+51</v>
      </c>
      <c r="G1120" s="4">
        <f t="shared" si="69"/>
        <v>1.4193296334969627E+51</v>
      </c>
      <c r="H1120" s="4">
        <f>SalaryFTECount*SalaryPerFTE*(1+SalaryGrowth)^1118</f>
        <v>2.320024818408915E+24</v>
      </c>
      <c r="I1120" s="4">
        <f>SimOpsY1*(1+SimOpsGrowth)^1118</f>
        <v>6.9964847061316733E+41</v>
      </c>
      <c r="J1120" s="4">
        <f>TrainDevY1*(1+TrainDevGrowth)^1118</f>
        <v>3.4982423530658367E+41</v>
      </c>
      <c r="K1120" s="4">
        <f>AdminY1*(1+AdminGrowth)^1118</f>
        <v>3.917304772662215E+32</v>
      </c>
      <c r="L1120" s="4">
        <f t="shared" si="70"/>
        <v>1.0494727063114815E+42</v>
      </c>
      <c r="M1120" s="4">
        <f t="shared" si="71"/>
        <v>1.41932963244749E+51</v>
      </c>
    </row>
    <row r="1121" spans="1:13" x14ac:dyDescent="0.2">
      <c r="A1121" s="3">
        <f>StartYear+1119</f>
        <v>3144</v>
      </c>
      <c r="B1121" s="4">
        <f>FacultyFTE*HoursPerWeek*WeeksPerYear*RatePerHour*(1+PracticeGrowth)^1119</f>
        <v>1.4798515340087297E+29</v>
      </c>
      <c r="C1121" s="4">
        <f>StudentsY1*(1+StudentGrowth)^1119*CreditsPerStudent*TuitionPerCredit</f>
        <v>9.2490720875545587E+29</v>
      </c>
      <c r="D1121" s="4">
        <f>SimRevY1*(1+SimGrowth)^1119</f>
        <v>1.0408417312311057E+51</v>
      </c>
      <c r="E1121" s="4">
        <f>FacDevRevY1*(1+FacDevGrowth)^1119</f>
        <v>5.2042086561555287E+50</v>
      </c>
      <c r="F1121" s="4">
        <f t="shared" si="68"/>
        <v>1.5612625968466585E+51</v>
      </c>
      <c r="G1121" s="4">
        <f t="shared" si="69"/>
        <v>1.5612625968466585E+51</v>
      </c>
      <c r="H1121" s="4">
        <f>SalaryFTECount*SalaryPerFTE*(1+SalaryGrowth)^1119</f>
        <v>2.4128258111452719E+24</v>
      </c>
      <c r="I1121" s="4">
        <f>SimOpsY1*(1+SimOpsGrowth)^1119</f>
        <v>7.5562034826222088E+41</v>
      </c>
      <c r="J1121" s="4">
        <f>TrainDevY1*(1+TrainDevGrowth)^1119</f>
        <v>3.7781017413111044E+41</v>
      </c>
      <c r="K1121" s="4">
        <f>AdminY1*(1+AdminGrowth)^1119</f>
        <v>4.1523430590219491E+32</v>
      </c>
      <c r="L1121" s="4">
        <f t="shared" si="70"/>
        <v>1.1334305228085657E+42</v>
      </c>
      <c r="M1121" s="4">
        <f t="shared" si="71"/>
        <v>1.5612625957132281E+51</v>
      </c>
    </row>
    <row r="1122" spans="1:13" x14ac:dyDescent="0.2">
      <c r="A1122" s="3">
        <f>StartYear+1120</f>
        <v>3145</v>
      </c>
      <c r="B1122" s="4">
        <f>FacultyFTE*HoursPerWeek*WeeksPerYear*RatePerHour*(1+PracticeGrowth)^1120</f>
        <v>1.5538441107091659E+29</v>
      </c>
      <c r="C1122" s="4">
        <f>StudentsY1*(1+StudentGrowth)^1120*CreditsPerStudent*TuitionPerCredit</f>
        <v>9.7115256919322868E+29</v>
      </c>
      <c r="D1122" s="4">
        <f>SimRevY1*(1+SimGrowth)^1120</f>
        <v>1.1449259043542164E+51</v>
      </c>
      <c r="E1122" s="4">
        <f>FacDevRevY1*(1+FacDevGrowth)^1120</f>
        <v>5.7246295217710821E+50</v>
      </c>
      <c r="F1122" s="4">
        <f t="shared" si="68"/>
        <v>1.7173888565313248E+51</v>
      </c>
      <c r="G1122" s="4">
        <f t="shared" si="69"/>
        <v>1.7173888565313248E+51</v>
      </c>
      <c r="H1122" s="4">
        <f>SalaryFTECount*SalaryPerFTE*(1+SalaryGrowth)^1120</f>
        <v>2.509338843591083E+24</v>
      </c>
      <c r="I1122" s="4">
        <f>SimOpsY1*(1+SimOpsGrowth)^1120</f>
        <v>8.1606997612319848E+41</v>
      </c>
      <c r="J1122" s="4">
        <f>TrainDevY1*(1+TrainDevGrowth)^1120</f>
        <v>4.0803498806159924E+41</v>
      </c>
      <c r="K1122" s="4">
        <f>AdminY1*(1+AdminGrowth)^1120</f>
        <v>4.4014836425632655E+32</v>
      </c>
      <c r="L1122" s="4">
        <f t="shared" si="70"/>
        <v>1.2241049646249461E+42</v>
      </c>
      <c r="M1122" s="4">
        <f t="shared" si="71"/>
        <v>1.7173888553072198E+51</v>
      </c>
    </row>
    <row r="1123" spans="1:13" x14ac:dyDescent="0.2">
      <c r="A1123" s="3">
        <f>StartYear+1121</f>
        <v>3146</v>
      </c>
      <c r="B1123" s="4">
        <f>FacultyFTE*HoursPerWeek*WeeksPerYear*RatePerHour*(1+PracticeGrowth)^1121</f>
        <v>1.6315363162446245E+29</v>
      </c>
      <c r="C1123" s="4">
        <f>StudentsY1*(1+StudentGrowth)^1121*CreditsPerStudent*TuitionPerCredit</f>
        <v>1.0197101976528902E+30</v>
      </c>
      <c r="D1123" s="4">
        <f>SimRevY1*(1+SimGrowth)^1121</f>
        <v>1.2594184947896381E+51</v>
      </c>
      <c r="E1123" s="4">
        <f>FacDevRevY1*(1+FacDevGrowth)^1121</f>
        <v>6.2970924739481905E+50</v>
      </c>
      <c r="F1123" s="4">
        <f t="shared" si="68"/>
        <v>1.8891277421844572E+51</v>
      </c>
      <c r="G1123" s="4">
        <f t="shared" si="69"/>
        <v>1.8891277421844572E+51</v>
      </c>
      <c r="H1123" s="4">
        <f>SalaryFTECount*SalaryPerFTE*(1+SalaryGrowth)^1121</f>
        <v>2.6097123973347264E+24</v>
      </c>
      <c r="I1123" s="4">
        <f>SimOpsY1*(1+SimOpsGrowth)^1121</f>
        <v>8.8135557421305432E+41</v>
      </c>
      <c r="J1123" s="4">
        <f>TrainDevY1*(1+TrainDevGrowth)^1121</f>
        <v>4.4067778710652716E+41</v>
      </c>
      <c r="K1123" s="4">
        <f>AdminY1*(1+AdminGrowth)^1121</f>
        <v>4.665572661117061E+32</v>
      </c>
      <c r="L1123" s="4">
        <f t="shared" si="70"/>
        <v>1.3220333617861388E+42</v>
      </c>
      <c r="M1123" s="4">
        <f t="shared" si="71"/>
        <v>1.8891277408624239E+51</v>
      </c>
    </row>
    <row r="1124" spans="1:13" x14ac:dyDescent="0.2">
      <c r="A1124" s="3">
        <f>StartYear+1122</f>
        <v>3147</v>
      </c>
      <c r="B1124" s="4">
        <f>FacultyFTE*HoursPerWeek*WeeksPerYear*RatePerHour*(1+PracticeGrowth)^1122</f>
        <v>1.7131131320568557E+29</v>
      </c>
      <c r="C1124" s="4">
        <f>StudentsY1*(1+StudentGrowth)^1122*CreditsPerStudent*TuitionPerCredit</f>
        <v>1.0706957075355348E+30</v>
      </c>
      <c r="D1124" s="4">
        <f>SimRevY1*(1+SimGrowth)^1122</f>
        <v>1.3853603442686021E+51</v>
      </c>
      <c r="E1124" s="4">
        <f>FacDevRevY1*(1+FacDevGrowth)^1122</f>
        <v>6.9268017213430104E+50</v>
      </c>
      <c r="F1124" s="4">
        <f t="shared" si="68"/>
        <v>2.0780405164029032E+51</v>
      </c>
      <c r="G1124" s="4">
        <f t="shared" si="69"/>
        <v>2.0780405164029032E+51</v>
      </c>
      <c r="H1124" s="4">
        <f>SalaryFTECount*SalaryPerFTE*(1+SalaryGrowth)^1122</f>
        <v>2.7141008932281155E+24</v>
      </c>
      <c r="I1124" s="4">
        <f>SimOpsY1*(1+SimOpsGrowth)^1122</f>
        <v>9.5186402015009877E+41</v>
      </c>
      <c r="J1124" s="4">
        <f>TrainDevY1*(1+TrainDevGrowth)^1122</f>
        <v>4.7593201007504938E+41</v>
      </c>
      <c r="K1124" s="4">
        <f>AdminY1*(1+AdminGrowth)^1122</f>
        <v>4.9455070207840856E+32</v>
      </c>
      <c r="L1124" s="4">
        <f t="shared" si="70"/>
        <v>1.4277960307196989E+42</v>
      </c>
      <c r="M1124" s="4">
        <f t="shared" si="71"/>
        <v>2.0780405149751073E+51</v>
      </c>
    </row>
    <row r="1125" spans="1:13" x14ac:dyDescent="0.2">
      <c r="A1125" s="3">
        <f>StartYear+1123</f>
        <v>3148</v>
      </c>
      <c r="B1125" s="4">
        <f>FacultyFTE*HoursPerWeek*WeeksPerYear*RatePerHour*(1+PracticeGrowth)^1123</f>
        <v>1.7987687886596986E+29</v>
      </c>
      <c r="C1125" s="4">
        <f>StudentsY1*(1+StudentGrowth)^1123*CreditsPerStudent*TuitionPerCredit</f>
        <v>1.1242304929123116E+30</v>
      </c>
      <c r="D1125" s="4">
        <f>SimRevY1*(1+SimGrowth)^1123</f>
        <v>1.5238963786954624E+51</v>
      </c>
      <c r="E1125" s="4">
        <f>FacDevRevY1*(1+FacDevGrowth)^1123</f>
        <v>7.6194818934773122E+50</v>
      </c>
      <c r="F1125" s="4">
        <f t="shared" si="68"/>
        <v>2.2858445680431935E+51</v>
      </c>
      <c r="G1125" s="4">
        <f t="shared" si="69"/>
        <v>2.2858445680431935E+51</v>
      </c>
      <c r="H1125" s="4">
        <f>SalaryFTECount*SalaryPerFTE*(1+SalaryGrowth)^1123</f>
        <v>2.8226649289572405E+24</v>
      </c>
      <c r="I1125" s="4">
        <f>SimOpsY1*(1+SimOpsGrowth)^1123</f>
        <v>1.0280131417621068E+42</v>
      </c>
      <c r="J1125" s="4">
        <f>TrainDevY1*(1+TrainDevGrowth)^1123</f>
        <v>5.1400657088105338E+41</v>
      </c>
      <c r="K1125" s="4">
        <f>AdminY1*(1+AdminGrowth)^1123</f>
        <v>5.2422374420311307E+32</v>
      </c>
      <c r="L1125" s="4">
        <f t="shared" si="70"/>
        <v>1.5420197131673839E+42</v>
      </c>
      <c r="M1125" s="4">
        <f t="shared" si="71"/>
        <v>2.2858445665011737E+51</v>
      </c>
    </row>
    <row r="1126" spans="1:13" x14ac:dyDescent="0.2">
      <c r="A1126" s="3">
        <f>StartYear+1124</f>
        <v>3149</v>
      </c>
      <c r="B1126" s="4">
        <f>FacultyFTE*HoursPerWeek*WeeksPerYear*RatePerHour*(1+PracticeGrowth)^1124</f>
        <v>1.888707228092683E+29</v>
      </c>
      <c r="C1126" s="4">
        <f>StudentsY1*(1+StudentGrowth)^1124*CreditsPerStudent*TuitionPerCredit</f>
        <v>1.1804420175579269E+30</v>
      </c>
      <c r="D1126" s="4">
        <f>SimRevY1*(1+SimGrowth)^1124</f>
        <v>1.6762860165650088E+51</v>
      </c>
      <c r="E1126" s="4">
        <f>FacDevRevY1*(1+FacDevGrowth)^1124</f>
        <v>8.3814300828250439E+50</v>
      </c>
      <c r="F1126" s="4">
        <f t="shared" si="68"/>
        <v>2.5144290248475132E+51</v>
      </c>
      <c r="G1126" s="4">
        <f t="shared" si="69"/>
        <v>2.5144290248475132E+51</v>
      </c>
      <c r="H1126" s="4">
        <f>SalaryFTECount*SalaryPerFTE*(1+SalaryGrowth)^1124</f>
        <v>2.9355715261155296E+24</v>
      </c>
      <c r="I1126" s="4">
        <f>SimOpsY1*(1+SimOpsGrowth)^1124</f>
        <v>1.1102541931030757E+42</v>
      </c>
      <c r="J1126" s="4">
        <f>TrainDevY1*(1+TrainDevGrowth)^1124</f>
        <v>5.5512709655153783E+41</v>
      </c>
      <c r="K1126" s="4">
        <f>AdminY1*(1+AdminGrowth)^1124</f>
        <v>5.5567716885530004E+32</v>
      </c>
      <c r="L1126" s="4">
        <f t="shared" si="70"/>
        <v>1.6653812902102907E+42</v>
      </c>
      <c r="M1126" s="4">
        <f t="shared" si="71"/>
        <v>2.5144290231821317E+51</v>
      </c>
    </row>
    <row r="1127" spans="1:13" x14ac:dyDescent="0.2">
      <c r="A1127" s="3">
        <f>StartYear+1125</f>
        <v>3150</v>
      </c>
      <c r="B1127" s="4">
        <f>FacultyFTE*HoursPerWeek*WeeksPerYear*RatePerHour*(1+PracticeGrowth)^1125</f>
        <v>1.9831425894973174E+29</v>
      </c>
      <c r="C1127" s="4">
        <f>StudentsY1*(1+StudentGrowth)^1125*CreditsPerStudent*TuitionPerCredit</f>
        <v>1.2394641184358236E+30</v>
      </c>
      <c r="D1127" s="4">
        <f>SimRevY1*(1+SimGrowth)^1125</f>
        <v>1.8439146182215099E+51</v>
      </c>
      <c r="E1127" s="4">
        <f>FacDevRevY1*(1+FacDevGrowth)^1125</f>
        <v>9.2195730911075496E+50</v>
      </c>
      <c r="F1127" s="4">
        <f t="shared" si="68"/>
        <v>2.7658719273322647E+51</v>
      </c>
      <c r="G1127" s="4">
        <f t="shared" si="69"/>
        <v>2.7658719273322647E+51</v>
      </c>
      <c r="H1127" s="4">
        <f>SalaryFTECount*SalaryPerFTE*(1+SalaryGrowth)^1125</f>
        <v>3.0529943871601517E+24</v>
      </c>
      <c r="I1127" s="4">
        <f>SimOpsY1*(1+SimOpsGrowth)^1125</f>
        <v>1.1990745285513216E+42</v>
      </c>
      <c r="J1127" s="4">
        <f>TrainDevY1*(1+TrainDevGrowth)^1125</f>
        <v>5.9953726427566078E+41</v>
      </c>
      <c r="K1127" s="4">
        <f>AdminY1*(1+AdminGrowth)^1125</f>
        <v>5.8901779898661787E+32</v>
      </c>
      <c r="L1127" s="4">
        <f t="shared" si="70"/>
        <v>1.798611793416E+42</v>
      </c>
      <c r="M1127" s="4">
        <f t="shared" si="71"/>
        <v>2.7658719255336531E+51</v>
      </c>
    </row>
    <row r="1128" spans="1:13" x14ac:dyDescent="0.2">
      <c r="A1128" s="3">
        <f>StartYear+1126</f>
        <v>3151</v>
      </c>
      <c r="B1128" s="4">
        <f>FacultyFTE*HoursPerWeek*WeeksPerYear*RatePerHour*(1+PracticeGrowth)^1126</f>
        <v>2.0822997189721831E+29</v>
      </c>
      <c r="C1128" s="4">
        <f>StudentsY1*(1+StudentGrowth)^1126*CreditsPerStudent*TuitionPerCredit</f>
        <v>1.3014373243576144E+30</v>
      </c>
      <c r="D1128" s="4">
        <f>SimRevY1*(1+SimGrowth)^1126</f>
        <v>2.0283060800436609E+51</v>
      </c>
      <c r="E1128" s="4">
        <f>FacDevRevY1*(1+FacDevGrowth)^1126</f>
        <v>1.0141530400218304E+51</v>
      </c>
      <c r="F1128" s="4">
        <f t="shared" si="68"/>
        <v>3.0424591200654913E+51</v>
      </c>
      <c r="G1128" s="4">
        <f t="shared" si="69"/>
        <v>3.0424591200654913E+51</v>
      </c>
      <c r="H1128" s="4">
        <f>SalaryFTECount*SalaryPerFTE*(1+SalaryGrowth)^1126</f>
        <v>3.1751141626465574E+24</v>
      </c>
      <c r="I1128" s="4">
        <f>SimOpsY1*(1+SimOpsGrowth)^1126</f>
        <v>1.2950004908354274E+42</v>
      </c>
      <c r="J1128" s="4">
        <f>TrainDevY1*(1+TrainDevGrowth)^1126</f>
        <v>6.4750024541771369E+41</v>
      </c>
      <c r="K1128" s="4">
        <f>AdminY1*(1+AdminGrowth)^1126</f>
        <v>6.243588669258152E+32</v>
      </c>
      <c r="L1128" s="4">
        <f t="shared" si="70"/>
        <v>1.9425007368774998E+42</v>
      </c>
      <c r="M1128" s="4">
        <f t="shared" si="71"/>
        <v>3.0424591181229908E+51</v>
      </c>
    </row>
    <row r="1129" spans="1:13" x14ac:dyDescent="0.2">
      <c r="A1129" s="3">
        <f>StartYear+1127</f>
        <v>3152</v>
      </c>
      <c r="B1129" s="4">
        <f>FacultyFTE*HoursPerWeek*WeeksPerYear*RatePerHour*(1+PracticeGrowth)^1127</f>
        <v>2.1864147049207927E+29</v>
      </c>
      <c r="C1129" s="4">
        <f>StudentsY1*(1+StudentGrowth)^1127*CreditsPerStudent*TuitionPerCredit</f>
        <v>1.3665091905754954E+30</v>
      </c>
      <c r="D1129" s="4">
        <f>SimRevY1*(1+SimGrowth)^1127</f>
        <v>2.2311366880480272E+51</v>
      </c>
      <c r="E1129" s="4">
        <f>FacDevRevY1*(1+FacDevGrowth)^1127</f>
        <v>1.1155683440240136E+51</v>
      </c>
      <c r="F1129" s="4">
        <f t="shared" si="68"/>
        <v>3.3467050320720406E+51</v>
      </c>
      <c r="G1129" s="4">
        <f t="shared" si="69"/>
        <v>3.3467050320720406E+51</v>
      </c>
      <c r="H1129" s="4">
        <f>SalaryFTECount*SalaryPerFTE*(1+SalaryGrowth)^1127</f>
        <v>3.3021187291524197E+24</v>
      </c>
      <c r="I1129" s="4">
        <f>SimOpsY1*(1+SimOpsGrowth)^1127</f>
        <v>1.3986005301022614E+42</v>
      </c>
      <c r="J1129" s="4">
        <f>TrainDevY1*(1+TrainDevGrowth)^1127</f>
        <v>6.9930026505113069E+41</v>
      </c>
      <c r="K1129" s="4">
        <f>AdminY1*(1+AdminGrowth)^1127</f>
        <v>6.6182039894136421E+32</v>
      </c>
      <c r="L1129" s="4">
        <f t="shared" si="70"/>
        <v>2.0979007958152126E+42</v>
      </c>
      <c r="M1129" s="4">
        <f t="shared" si="71"/>
        <v>3.34670502997414E+51</v>
      </c>
    </row>
    <row r="1130" spans="1:13" x14ac:dyDescent="0.2">
      <c r="A1130" s="3">
        <f>StartYear+1128</f>
        <v>3153</v>
      </c>
      <c r="B1130" s="4">
        <f>FacultyFTE*HoursPerWeek*WeeksPerYear*RatePerHour*(1+PracticeGrowth)^1128</f>
        <v>2.2957354401668319E+29</v>
      </c>
      <c r="C1130" s="4">
        <f>StudentsY1*(1+StudentGrowth)^1128*CreditsPerStudent*TuitionPerCredit</f>
        <v>1.4348346501042701E+30</v>
      </c>
      <c r="D1130" s="4">
        <f>SimRevY1*(1+SimGrowth)^1128</f>
        <v>2.4542503568528303E+51</v>
      </c>
      <c r="E1130" s="4">
        <f>FacDevRevY1*(1+FacDevGrowth)^1128</f>
        <v>1.2271251784264151E+51</v>
      </c>
      <c r="F1130" s="4">
        <f t="shared" si="68"/>
        <v>3.6813755352792457E+51</v>
      </c>
      <c r="G1130" s="4">
        <f t="shared" si="69"/>
        <v>3.6813755352792457E+51</v>
      </c>
      <c r="H1130" s="4">
        <f>SalaryFTECount*SalaryPerFTE*(1+SalaryGrowth)^1128</f>
        <v>3.4342034783185176E+24</v>
      </c>
      <c r="I1130" s="4">
        <f>SimOpsY1*(1+SimOpsGrowth)^1128</f>
        <v>1.5104885725104427E+42</v>
      </c>
      <c r="J1130" s="4">
        <f>TrainDevY1*(1+TrainDevGrowth)^1128</f>
        <v>7.5524428625522137E+41</v>
      </c>
      <c r="K1130" s="4">
        <f>AdminY1*(1+AdminGrowth)^1128</f>
        <v>7.0152962287784593E+32</v>
      </c>
      <c r="L1130" s="4">
        <f t="shared" si="70"/>
        <v>2.2657328594671934E+42</v>
      </c>
      <c r="M1130" s="4">
        <f t="shared" si="71"/>
        <v>3.6813755330135128E+51</v>
      </c>
    </row>
    <row r="1131" spans="1:13" x14ac:dyDescent="0.2">
      <c r="A1131" s="3">
        <f>StartYear+1129</f>
        <v>3154</v>
      </c>
      <c r="B1131" s="4">
        <f>FacultyFTE*HoursPerWeek*WeeksPerYear*RatePerHour*(1+PracticeGrowth)^1129</f>
        <v>2.4105222121751736E+29</v>
      </c>
      <c r="C1131" s="4">
        <f>StudentsY1*(1+StudentGrowth)^1129*CreditsPerStudent*TuitionPerCredit</f>
        <v>1.5065763826094837E+30</v>
      </c>
      <c r="D1131" s="4">
        <f>SimRevY1*(1+SimGrowth)^1129</f>
        <v>2.6996753925381127E+51</v>
      </c>
      <c r="E1131" s="4">
        <f>FacDevRevY1*(1+FacDevGrowth)^1129</f>
        <v>1.3498376962690563E+51</v>
      </c>
      <c r="F1131" s="4">
        <f t="shared" si="68"/>
        <v>4.0495130888071687E+51</v>
      </c>
      <c r="G1131" s="4">
        <f t="shared" si="69"/>
        <v>4.0495130888071687E+51</v>
      </c>
      <c r="H1131" s="4">
        <f>SalaryFTECount*SalaryPerFTE*(1+SalaryGrowth)^1129</f>
        <v>3.571571617451258E+24</v>
      </c>
      <c r="I1131" s="4">
        <f>SimOpsY1*(1+SimOpsGrowth)^1129</f>
        <v>1.6313276583112781E+42</v>
      </c>
      <c r="J1131" s="4">
        <f>TrainDevY1*(1+TrainDevGrowth)^1129</f>
        <v>8.1566382915563906E+41</v>
      </c>
      <c r="K1131" s="4">
        <f>AdminY1*(1+AdminGrowth)^1129</f>
        <v>7.4362140025051664E+32</v>
      </c>
      <c r="L1131" s="4">
        <f t="shared" si="70"/>
        <v>2.4469914882105385E+42</v>
      </c>
      <c r="M1131" s="4">
        <f t="shared" si="71"/>
        <v>4.0495130863601769E+51</v>
      </c>
    </row>
    <row r="1132" spans="1:13" x14ac:dyDescent="0.2">
      <c r="A1132" s="3">
        <f>StartYear+1130</f>
        <v>3155</v>
      </c>
      <c r="B1132" s="4">
        <f>FacultyFTE*HoursPerWeek*WeeksPerYear*RatePerHour*(1+PracticeGrowth)^1130</f>
        <v>2.5310483227839325E+29</v>
      </c>
      <c r="C1132" s="4">
        <f>StudentsY1*(1+StudentGrowth)^1130*CreditsPerStudent*TuitionPerCredit</f>
        <v>1.5819052017399575E+30</v>
      </c>
      <c r="D1132" s="4">
        <f>SimRevY1*(1+SimGrowth)^1130</f>
        <v>2.9696429317919249E+51</v>
      </c>
      <c r="E1132" s="4">
        <f>FacDevRevY1*(1+FacDevGrowth)^1130</f>
        <v>1.4848214658959624E+51</v>
      </c>
      <c r="F1132" s="4">
        <f t="shared" si="68"/>
        <v>4.4544643976878872E+51</v>
      </c>
      <c r="G1132" s="4">
        <f t="shared" si="69"/>
        <v>4.4544643976878872E+51</v>
      </c>
      <c r="H1132" s="4">
        <f>SalaryFTECount*SalaryPerFTE*(1+SalaryGrowth)^1130</f>
        <v>3.7144344821493083E+24</v>
      </c>
      <c r="I1132" s="4">
        <f>SimOpsY1*(1+SimOpsGrowth)^1130</f>
        <v>1.7618338709761802E+42</v>
      </c>
      <c r="J1132" s="4">
        <f>TrainDevY1*(1+TrainDevGrowth)^1130</f>
        <v>8.809169354880901E+41</v>
      </c>
      <c r="K1132" s="4">
        <f>AdminY1*(1+AdminGrowth)^1130</f>
        <v>7.8823868426554763E+32</v>
      </c>
      <c r="L1132" s="4">
        <f t="shared" si="70"/>
        <v>2.6427508072525093E+42</v>
      </c>
      <c r="M1132" s="4">
        <f t="shared" si="71"/>
        <v>4.4544643950451367E+51</v>
      </c>
    </row>
    <row r="1133" spans="1:13" x14ac:dyDescent="0.2">
      <c r="A1133" s="3">
        <f>StartYear+1131</f>
        <v>3156</v>
      </c>
      <c r="B1133" s="4">
        <f>FacultyFTE*HoursPerWeek*WeeksPerYear*RatePerHour*(1+PracticeGrowth)^1131</f>
        <v>2.6576007389231296E+29</v>
      </c>
      <c r="C1133" s="4">
        <f>StudentsY1*(1+StudentGrowth)^1131*CreditsPerStudent*TuitionPerCredit</f>
        <v>1.6610004618269558E+30</v>
      </c>
      <c r="D1133" s="4">
        <f>SimRevY1*(1+SimGrowth)^1131</f>
        <v>3.2666072249711176E+51</v>
      </c>
      <c r="E1133" s="4">
        <f>FacDevRevY1*(1+FacDevGrowth)^1131</f>
        <v>1.6333036124855588E+51</v>
      </c>
      <c r="F1133" s="4">
        <f t="shared" si="68"/>
        <v>4.8999108374566761E+51</v>
      </c>
      <c r="G1133" s="4">
        <f t="shared" si="69"/>
        <v>4.8999108374566761E+51</v>
      </c>
      <c r="H1133" s="4">
        <f>SalaryFTECount*SalaryPerFTE*(1+SalaryGrowth)^1131</f>
        <v>3.8630118614352804E+24</v>
      </c>
      <c r="I1133" s="4">
        <f>SimOpsY1*(1+SimOpsGrowth)^1131</f>
        <v>1.9027805806542746E+42</v>
      </c>
      <c r="J1133" s="4">
        <f>TrainDevY1*(1+TrainDevGrowth)^1131</f>
        <v>9.5139029032713732E+41</v>
      </c>
      <c r="K1133" s="4">
        <f>AdminY1*(1+AdminGrowth)^1131</f>
        <v>8.3553300532148067E+32</v>
      </c>
      <c r="L1133" s="4">
        <f t="shared" si="70"/>
        <v>2.8541708718169447E+42</v>
      </c>
      <c r="M1133" s="4">
        <f t="shared" si="71"/>
        <v>4.8999108346025052E+51</v>
      </c>
    </row>
    <row r="1134" spans="1:13" x14ac:dyDescent="0.2">
      <c r="A1134" s="3">
        <f>StartYear+1132</f>
        <v>3157</v>
      </c>
      <c r="B1134" s="4">
        <f>FacultyFTE*HoursPerWeek*WeeksPerYear*RatePerHour*(1+PracticeGrowth)^1132</f>
        <v>2.7904807758692854E+29</v>
      </c>
      <c r="C1134" s="4">
        <f>StudentsY1*(1+StudentGrowth)^1132*CreditsPerStudent*TuitionPerCredit</f>
        <v>1.7440504849183036E+30</v>
      </c>
      <c r="D1134" s="4">
        <f>SimRevY1*(1+SimGrowth)^1132</f>
        <v>3.5932679474682289E+51</v>
      </c>
      <c r="E1134" s="4">
        <f>FacDevRevY1*(1+FacDevGrowth)^1132</f>
        <v>1.7966339737341144E+51</v>
      </c>
      <c r="F1134" s="4">
        <f t="shared" si="68"/>
        <v>5.389901921202343E+51</v>
      </c>
      <c r="G1134" s="4">
        <f t="shared" si="69"/>
        <v>5.389901921202343E+51</v>
      </c>
      <c r="H1134" s="4">
        <f>SalaryFTECount*SalaryPerFTE*(1+SalaryGrowth)^1132</f>
        <v>4.0175323358926927E+24</v>
      </c>
      <c r="I1134" s="4">
        <f>SimOpsY1*(1+SimOpsGrowth)^1132</f>
        <v>2.055003027106617E+42</v>
      </c>
      <c r="J1134" s="4">
        <f>TrainDevY1*(1+TrainDevGrowth)^1132</f>
        <v>1.0275015135533085E+42</v>
      </c>
      <c r="K1134" s="4">
        <f>AdminY1*(1+AdminGrowth)^1132</f>
        <v>8.8566498564076958E+32</v>
      </c>
      <c r="L1134" s="4">
        <f t="shared" si="70"/>
        <v>3.0825045415455907E+42</v>
      </c>
      <c r="M1134" s="4">
        <f t="shared" si="71"/>
        <v>5.3899019181198387E+51</v>
      </c>
    </row>
    <row r="1135" spans="1:13" x14ac:dyDescent="0.2">
      <c r="A1135" s="3">
        <f>StartYear+1133</f>
        <v>3158</v>
      </c>
      <c r="B1135" s="4">
        <f>FacultyFTE*HoursPerWeek*WeeksPerYear*RatePerHour*(1+PracticeGrowth)^1133</f>
        <v>2.9300048146627504E+29</v>
      </c>
      <c r="C1135" s="4">
        <f>StudentsY1*(1+StudentGrowth)^1133*CreditsPerStudent*TuitionPerCredit</f>
        <v>1.831253009164219E+30</v>
      </c>
      <c r="D1135" s="4">
        <f>SimRevY1*(1+SimGrowth)^1133</f>
        <v>3.9525947422150528E+51</v>
      </c>
      <c r="E1135" s="4">
        <f>FacDevRevY1*(1+FacDevGrowth)^1133</f>
        <v>1.9762973711075264E+51</v>
      </c>
      <c r="F1135" s="4">
        <f t="shared" si="68"/>
        <v>5.9288921133225792E+51</v>
      </c>
      <c r="G1135" s="4">
        <f t="shared" si="69"/>
        <v>5.9288921133225792E+51</v>
      </c>
      <c r="H1135" s="4">
        <f>SalaryFTECount*SalaryPerFTE*(1+SalaryGrowth)^1133</f>
        <v>4.1782336293284001E+24</v>
      </c>
      <c r="I1135" s="4">
        <f>SimOpsY1*(1+SimOpsGrowth)^1133</f>
        <v>2.2194032692751461E+42</v>
      </c>
      <c r="J1135" s="4">
        <f>TrainDevY1*(1+TrainDevGrowth)^1133</f>
        <v>1.109701634637573E+42</v>
      </c>
      <c r="K1135" s="4">
        <f>AdminY1*(1+AdminGrowth)^1133</f>
        <v>9.3880488477921574E+32</v>
      </c>
      <c r="L1135" s="4">
        <f t="shared" si="70"/>
        <v>3.3291049048515236E+42</v>
      </c>
      <c r="M1135" s="4">
        <f t="shared" si="71"/>
        <v>5.9288921099934745E+51</v>
      </c>
    </row>
    <row r="1136" spans="1:13" x14ac:dyDescent="0.2">
      <c r="A1136" s="3">
        <f>StartYear+1134</f>
        <v>3159</v>
      </c>
      <c r="B1136" s="4">
        <f>FacultyFTE*HoursPerWeek*WeeksPerYear*RatePerHour*(1+PracticeGrowth)^1134</f>
        <v>3.0765050553958868E+29</v>
      </c>
      <c r="C1136" s="4">
        <f>StudentsY1*(1+StudentGrowth)^1134*CreditsPerStudent*TuitionPerCredit</f>
        <v>1.9228156596224294E+30</v>
      </c>
      <c r="D1136" s="4">
        <f>SimRevY1*(1+SimGrowth)^1134</f>
        <v>4.3478542164365589E+51</v>
      </c>
      <c r="E1136" s="4">
        <f>FacDevRevY1*(1+FacDevGrowth)^1134</f>
        <v>2.1739271082182794E+51</v>
      </c>
      <c r="F1136" s="4">
        <f t="shared" si="68"/>
        <v>6.5217813246548386E+51</v>
      </c>
      <c r="G1136" s="4">
        <f t="shared" si="69"/>
        <v>6.5217813246548386E+51</v>
      </c>
      <c r="H1136" s="4">
        <f>SalaryFTECount*SalaryPerFTE*(1+SalaryGrowth)^1134</f>
        <v>4.3453629745015366E+24</v>
      </c>
      <c r="I1136" s="4">
        <f>SimOpsY1*(1+SimOpsGrowth)^1134</f>
        <v>2.3969555308171583E+42</v>
      </c>
      <c r="J1136" s="4">
        <f>TrainDevY1*(1+TrainDevGrowth)^1134</f>
        <v>1.1984777654085791E+42</v>
      </c>
      <c r="K1136" s="4">
        <f>AdminY1*(1+AdminGrowth)^1134</f>
        <v>9.9513317786596887E+32</v>
      </c>
      <c r="L1136" s="4">
        <f t="shared" si="70"/>
        <v>3.5954332972208702E+42</v>
      </c>
      <c r="M1136" s="4">
        <f t="shared" si="71"/>
        <v>6.5217813210594058E+51</v>
      </c>
    </row>
    <row r="1137" spans="1:13" x14ac:dyDescent="0.2">
      <c r="A1137" s="3">
        <f>StartYear+1135</f>
        <v>3160</v>
      </c>
      <c r="B1137" s="4">
        <f>FacultyFTE*HoursPerWeek*WeeksPerYear*RatePerHour*(1+PracticeGrowth)^1135</f>
        <v>3.2303303081656824E+29</v>
      </c>
      <c r="C1137" s="4">
        <f>StudentsY1*(1+StudentGrowth)^1135*CreditsPerStudent*TuitionPerCredit</f>
        <v>2.0189564426035518E+30</v>
      </c>
      <c r="D1137" s="4">
        <f>SimRevY1*(1+SimGrowth)^1135</f>
        <v>4.7826396380802148E+51</v>
      </c>
      <c r="E1137" s="4">
        <f>FacDevRevY1*(1+FacDevGrowth)^1135</f>
        <v>2.3913198190401074E+51</v>
      </c>
      <c r="F1137" s="4">
        <f t="shared" si="68"/>
        <v>7.1739594571203216E+51</v>
      </c>
      <c r="G1137" s="4">
        <f t="shared" si="69"/>
        <v>7.1739594571203216E+51</v>
      </c>
      <c r="H1137" s="4">
        <f>SalaryFTECount*SalaryPerFTE*(1+SalaryGrowth)^1135</f>
        <v>4.5191774934815978E+24</v>
      </c>
      <c r="I1137" s="4">
        <f>SimOpsY1*(1+SimOpsGrowth)^1135</f>
        <v>2.5887119732825313E+42</v>
      </c>
      <c r="J1137" s="4">
        <f>TrainDevY1*(1+TrainDevGrowth)^1135</f>
        <v>1.2943559866412657E+42</v>
      </c>
      <c r="K1137" s="4">
        <f>AdminY1*(1+AdminGrowth)^1135</f>
        <v>1.054841168537927E+33</v>
      </c>
      <c r="L1137" s="4">
        <f t="shared" si="70"/>
        <v>3.8830679609786386E+42</v>
      </c>
      <c r="M1137" s="4">
        <f t="shared" si="71"/>
        <v>7.1739594532372531E+51</v>
      </c>
    </row>
    <row r="1138" spans="1:13" x14ac:dyDescent="0.2">
      <c r="A1138" s="3">
        <f>StartYear+1136</f>
        <v>3161</v>
      </c>
      <c r="B1138" s="4">
        <f>FacultyFTE*HoursPerWeek*WeeksPerYear*RatePerHour*(1+PracticeGrowth)^1136</f>
        <v>3.3918468235739665E+29</v>
      </c>
      <c r="C1138" s="4">
        <f>StudentsY1*(1+StudentGrowth)^1136*CreditsPerStudent*TuitionPerCredit</f>
        <v>2.1199042647337292E+30</v>
      </c>
      <c r="D1138" s="4">
        <f>SimRevY1*(1+SimGrowth)^1136</f>
        <v>5.260903601888236E+51</v>
      </c>
      <c r="E1138" s="4">
        <f>FacDevRevY1*(1+FacDevGrowth)^1136</f>
        <v>2.630451800944118E+51</v>
      </c>
      <c r="F1138" s="4">
        <f t="shared" si="68"/>
        <v>7.8913554028323537E+51</v>
      </c>
      <c r="G1138" s="4">
        <f t="shared" si="69"/>
        <v>7.8913554028323537E+51</v>
      </c>
      <c r="H1138" s="4">
        <f>SalaryFTECount*SalaryPerFTE*(1+SalaryGrowth)^1136</f>
        <v>4.6999445932208625E+24</v>
      </c>
      <c r="I1138" s="4">
        <f>SimOpsY1*(1+SimOpsGrowth)^1136</f>
        <v>2.7958089311451337E+42</v>
      </c>
      <c r="J1138" s="4">
        <f>TrainDevY1*(1+TrainDevGrowth)^1136</f>
        <v>1.3979044655725669E+42</v>
      </c>
      <c r="K1138" s="4">
        <f>AdminY1*(1+AdminGrowth)^1136</f>
        <v>1.1181316386502026E+33</v>
      </c>
      <c r="L1138" s="4">
        <f t="shared" si="70"/>
        <v>4.1937133978358322E+42</v>
      </c>
      <c r="M1138" s="4">
        <f t="shared" si="71"/>
        <v>7.8913553986386407E+51</v>
      </c>
    </row>
    <row r="1139" spans="1:13" x14ac:dyDescent="0.2">
      <c r="A1139" s="3">
        <f>StartYear+1137</f>
        <v>3162</v>
      </c>
      <c r="B1139" s="4">
        <f>FacultyFTE*HoursPerWeek*WeeksPerYear*RatePerHour*(1+PracticeGrowth)^1137</f>
        <v>3.5614391647526653E+29</v>
      </c>
      <c r="C1139" s="4">
        <f>StudentsY1*(1+StudentGrowth)^1137*CreditsPerStudent*TuitionPerCredit</f>
        <v>2.2258994779704159E+30</v>
      </c>
      <c r="D1139" s="4">
        <f>SimRevY1*(1+SimGrowth)^1137</f>
        <v>5.78699396207706E+51</v>
      </c>
      <c r="E1139" s="4">
        <f>FacDevRevY1*(1+FacDevGrowth)^1137</f>
        <v>2.89349698103853E+51</v>
      </c>
      <c r="F1139" s="4">
        <f t="shared" si="68"/>
        <v>8.6804909431155896E+51</v>
      </c>
      <c r="G1139" s="4">
        <f t="shared" si="69"/>
        <v>8.6804909431155896E+51</v>
      </c>
      <c r="H1139" s="4">
        <f>SalaryFTECount*SalaryPerFTE*(1+SalaryGrowth)^1137</f>
        <v>4.8879423769496974E+24</v>
      </c>
      <c r="I1139" s="4">
        <f>SimOpsY1*(1+SimOpsGrowth)^1137</f>
        <v>3.0194736456367443E+42</v>
      </c>
      <c r="J1139" s="4">
        <f>TrainDevY1*(1+TrainDevGrowth)^1137</f>
        <v>1.5097368228183721E+42</v>
      </c>
      <c r="K1139" s="4">
        <f>AdminY1*(1+AdminGrowth)^1137</f>
        <v>1.1852195369692149E+33</v>
      </c>
      <c r="L1139" s="4">
        <f t="shared" si="70"/>
        <v>4.529210469640336E+42</v>
      </c>
      <c r="M1139" s="4">
        <f t="shared" si="71"/>
        <v>8.6804909385863795E+51</v>
      </c>
    </row>
    <row r="1140" spans="1:13" x14ac:dyDescent="0.2">
      <c r="A1140" s="3">
        <f>StartYear+1138</f>
        <v>3163</v>
      </c>
      <c r="B1140" s="4">
        <f>FacultyFTE*HoursPerWeek*WeeksPerYear*RatePerHour*(1+PracticeGrowth)^1138</f>
        <v>3.739511122990299E+29</v>
      </c>
      <c r="C1140" s="4">
        <f>StudentsY1*(1+StudentGrowth)^1138*CreditsPerStudent*TuitionPerCredit</f>
        <v>2.3371944518689366E+30</v>
      </c>
      <c r="D1140" s="4">
        <f>SimRevY1*(1+SimGrowth)^1138</f>
        <v>6.3656933582847675E+51</v>
      </c>
      <c r="E1140" s="4">
        <f>FacDevRevY1*(1+FacDevGrowth)^1138</f>
        <v>3.1828466791423837E+51</v>
      </c>
      <c r="F1140" s="4">
        <f t="shared" si="68"/>
        <v>9.5485400374271512E+51</v>
      </c>
      <c r="G1140" s="4">
        <f t="shared" si="69"/>
        <v>9.5485400374271512E+51</v>
      </c>
      <c r="H1140" s="4">
        <f>SalaryFTECount*SalaryPerFTE*(1+SalaryGrowth)^1138</f>
        <v>5.0834600720276856E+24</v>
      </c>
      <c r="I1140" s="4">
        <f>SimOpsY1*(1+SimOpsGrowth)^1138</f>
        <v>3.2610315372876842E+42</v>
      </c>
      <c r="J1140" s="4">
        <f>TrainDevY1*(1+TrainDevGrowth)^1138</f>
        <v>1.6305157686438421E+42</v>
      </c>
      <c r="K1140" s="4">
        <f>AdminY1*(1+AdminGrowth)^1138</f>
        <v>1.2563327091873678E+33</v>
      </c>
      <c r="L1140" s="4">
        <f t="shared" si="70"/>
        <v>4.891547307187859E+42</v>
      </c>
      <c r="M1140" s="4">
        <f t="shared" si="71"/>
        <v>9.5485400325356042E+51</v>
      </c>
    </row>
    <row r="1141" spans="1:13" x14ac:dyDescent="0.2">
      <c r="A1141" s="3">
        <f>StartYear+1139</f>
        <v>3164</v>
      </c>
      <c r="B1141" s="4">
        <f>FacultyFTE*HoursPerWeek*WeeksPerYear*RatePerHour*(1+PracticeGrowth)^1139</f>
        <v>3.9264866791398131E+29</v>
      </c>
      <c r="C1141" s="4">
        <f>StudentsY1*(1+StudentGrowth)^1139*CreditsPerStudent*TuitionPerCredit</f>
        <v>2.4540541744623833E+30</v>
      </c>
      <c r="D1141" s="4">
        <f>SimRevY1*(1+SimGrowth)^1139</f>
        <v>7.0022626941132432E+51</v>
      </c>
      <c r="E1141" s="4">
        <f>FacDevRevY1*(1+FacDevGrowth)^1139</f>
        <v>3.5011313470566216E+51</v>
      </c>
      <c r="F1141" s="4">
        <f t="shared" si="68"/>
        <v>1.0503394041169865E+52</v>
      </c>
      <c r="G1141" s="4">
        <f t="shared" si="69"/>
        <v>1.0503394041169865E+52</v>
      </c>
      <c r="H1141" s="4">
        <f>SalaryFTECount*SalaryPerFTE*(1+SalaryGrowth)^1139</f>
        <v>5.2867984749087926E+24</v>
      </c>
      <c r="I1141" s="4">
        <f>SimOpsY1*(1+SimOpsGrowth)^1139</f>
        <v>3.5219140602706992E+42</v>
      </c>
      <c r="J1141" s="4">
        <f>TrainDevY1*(1+TrainDevGrowth)^1139</f>
        <v>1.7609570301353496E+42</v>
      </c>
      <c r="K1141" s="4">
        <f>AdminY1*(1+AdminGrowth)^1139</f>
        <v>1.3317126717386099E+33</v>
      </c>
      <c r="L1141" s="4">
        <f t="shared" si="70"/>
        <v>5.2828710917377616E+42</v>
      </c>
      <c r="M1141" s="4">
        <f t="shared" si="71"/>
        <v>1.0503394035886994E+52</v>
      </c>
    </row>
    <row r="1142" spans="1:13" x14ac:dyDescent="0.2">
      <c r="A1142" s="3">
        <f>StartYear+1140</f>
        <v>3165</v>
      </c>
      <c r="B1142" s="4">
        <f>FacultyFTE*HoursPerWeek*WeeksPerYear*RatePerHour*(1+PracticeGrowth)^1140</f>
        <v>4.1228110130968042E+29</v>
      </c>
      <c r="C1142" s="4">
        <f>StudentsY1*(1+StudentGrowth)^1140*CreditsPerStudent*TuitionPerCredit</f>
        <v>2.5767568831855027E+30</v>
      </c>
      <c r="D1142" s="4">
        <f>SimRevY1*(1+SimGrowth)^1140</f>
        <v>7.7024889635245699E+51</v>
      </c>
      <c r="E1142" s="4">
        <f>FacDevRevY1*(1+FacDevGrowth)^1140</f>
        <v>3.8512444817622849E+51</v>
      </c>
      <c r="F1142" s="4">
        <f t="shared" si="68"/>
        <v>1.1553733445286854E+52</v>
      </c>
      <c r="G1142" s="4">
        <f t="shared" si="69"/>
        <v>1.1553733445286854E+52</v>
      </c>
      <c r="H1142" s="4">
        <f>SalaryFTECount*SalaryPerFTE*(1+SalaryGrowth)^1140</f>
        <v>5.4982704139051446E+24</v>
      </c>
      <c r="I1142" s="4">
        <f>SimOpsY1*(1+SimOpsGrowth)^1140</f>
        <v>3.8036671850923551E+42</v>
      </c>
      <c r="J1142" s="4">
        <f>TrainDevY1*(1+TrainDevGrowth)^1140</f>
        <v>1.9018335925461775E+42</v>
      </c>
      <c r="K1142" s="4">
        <f>AdminY1*(1+AdminGrowth)^1140</f>
        <v>1.4116154320429263E+33</v>
      </c>
      <c r="L1142" s="4">
        <f t="shared" si="70"/>
        <v>5.7055007790501476E+42</v>
      </c>
      <c r="M1142" s="4">
        <f t="shared" si="71"/>
        <v>1.1553733439581353E+52</v>
      </c>
    </row>
    <row r="1143" spans="1:13" x14ac:dyDescent="0.2">
      <c r="A1143" s="3">
        <f>StartYear+1141</f>
        <v>3166</v>
      </c>
      <c r="B1143" s="4">
        <f>FacultyFTE*HoursPerWeek*WeeksPerYear*RatePerHour*(1+PracticeGrowth)^1141</f>
        <v>4.3289515637516435E+29</v>
      </c>
      <c r="C1143" s="4">
        <f>StudentsY1*(1+StudentGrowth)^1141*CreditsPerStudent*TuitionPerCredit</f>
        <v>2.7055947273447773E+30</v>
      </c>
      <c r="D1143" s="4">
        <f>SimRevY1*(1+SimGrowth)^1141</f>
        <v>8.4727378598770262E+51</v>
      </c>
      <c r="E1143" s="4">
        <f>FacDevRevY1*(1+FacDevGrowth)^1141</f>
        <v>4.2363689299385131E+51</v>
      </c>
      <c r="F1143" s="4">
        <f t="shared" si="68"/>
        <v>1.2709106789815539E+52</v>
      </c>
      <c r="G1143" s="4">
        <f t="shared" si="69"/>
        <v>1.2709106789815539E+52</v>
      </c>
      <c r="H1143" s="4">
        <f>SalaryFTECount*SalaryPerFTE*(1+SalaryGrowth)^1141</f>
        <v>5.7182012304613525E+24</v>
      </c>
      <c r="I1143" s="4">
        <f>SimOpsY1*(1+SimOpsGrowth)^1141</f>
        <v>4.1079605598997434E+42</v>
      </c>
      <c r="J1143" s="4">
        <f>TrainDevY1*(1+TrainDevGrowth)^1141</f>
        <v>2.0539802799498717E+42</v>
      </c>
      <c r="K1143" s="4">
        <f>AdminY1*(1+AdminGrowth)^1141</f>
        <v>1.4963123579655025E+33</v>
      </c>
      <c r="L1143" s="4">
        <f t="shared" si="70"/>
        <v>6.1619408413459265E+42</v>
      </c>
      <c r="M1143" s="4">
        <f t="shared" si="71"/>
        <v>1.2709106783653597E+52</v>
      </c>
    </row>
    <row r="1144" spans="1:13" x14ac:dyDescent="0.2">
      <c r="A1144" s="3">
        <f>StartYear+1142</f>
        <v>3167</v>
      </c>
      <c r="B1144" s="4">
        <f>FacultyFTE*HoursPerWeek*WeeksPerYear*RatePerHour*(1+PracticeGrowth)^1142</f>
        <v>4.5453991419392259E+29</v>
      </c>
      <c r="C1144" s="4">
        <f>StudentsY1*(1+StudentGrowth)^1142*CreditsPerStudent*TuitionPerCredit</f>
        <v>2.8408744637120158E+30</v>
      </c>
      <c r="D1144" s="4">
        <f>SimRevY1*(1+SimGrowth)^1142</f>
        <v>9.3200116458647288E+51</v>
      </c>
      <c r="E1144" s="4">
        <f>FacDevRevY1*(1+FacDevGrowth)^1142</f>
        <v>4.6600058229323644E+51</v>
      </c>
      <c r="F1144" s="4">
        <f t="shared" si="68"/>
        <v>1.3980017468797093E+52</v>
      </c>
      <c r="G1144" s="4">
        <f t="shared" si="69"/>
        <v>1.3980017468797093E+52</v>
      </c>
      <c r="H1144" s="4">
        <f>SalaryFTECount*SalaryPerFTE*(1+SalaryGrowth)^1142</f>
        <v>5.946929279679806E+24</v>
      </c>
      <c r="I1144" s="4">
        <f>SimOpsY1*(1+SimOpsGrowth)^1142</f>
        <v>4.4365974046917235E+42</v>
      </c>
      <c r="J1144" s="4">
        <f>TrainDevY1*(1+TrainDevGrowth)^1142</f>
        <v>2.2182987023458618E+42</v>
      </c>
      <c r="K1144" s="4">
        <f>AdminY1*(1+AdminGrowth)^1142</f>
        <v>1.5860910994434326E+33</v>
      </c>
      <c r="L1144" s="4">
        <f t="shared" si="70"/>
        <v>6.6548961086236762E+42</v>
      </c>
      <c r="M1144" s="4">
        <f t="shared" si="71"/>
        <v>1.3980017462142196E+52</v>
      </c>
    </row>
    <row r="1145" spans="1:13" x14ac:dyDescent="0.2">
      <c r="A1145" s="3">
        <f>StartYear+1143</f>
        <v>3168</v>
      </c>
      <c r="B1145" s="4">
        <f>FacultyFTE*HoursPerWeek*WeeksPerYear*RatePerHour*(1+PracticeGrowth)^1143</f>
        <v>4.7726690990361879E+29</v>
      </c>
      <c r="C1145" s="4">
        <f>StudentsY1*(1+StudentGrowth)^1143*CreditsPerStudent*TuitionPerCredit</f>
        <v>2.9829181868976173E+30</v>
      </c>
      <c r="D1145" s="4">
        <f>SimRevY1*(1+SimGrowth)^1143</f>
        <v>1.0252012810451206E+52</v>
      </c>
      <c r="E1145" s="4">
        <f>FacDevRevY1*(1+FacDevGrowth)^1143</f>
        <v>5.126006405225603E+51</v>
      </c>
      <c r="F1145" s="4">
        <f t="shared" si="68"/>
        <v>1.537801921567681E+52</v>
      </c>
      <c r="G1145" s="4">
        <f t="shared" si="69"/>
        <v>1.537801921567681E+52</v>
      </c>
      <c r="H1145" s="4">
        <f>SalaryFTECount*SalaryPerFTE*(1+SalaryGrowth)^1143</f>
        <v>6.1848064508669974E+24</v>
      </c>
      <c r="I1145" s="4">
        <f>SimOpsY1*(1+SimOpsGrowth)^1143</f>
        <v>4.7915251970670618E+42</v>
      </c>
      <c r="J1145" s="4">
        <f>TrainDevY1*(1+TrainDevGrowth)^1143</f>
        <v>2.3957625985335309E+42</v>
      </c>
      <c r="K1145" s="4">
        <f>AdminY1*(1+AdminGrowth)^1143</f>
        <v>1.6812565654100387E+33</v>
      </c>
      <c r="L1145" s="4">
        <f t="shared" si="70"/>
        <v>7.187287797281849E+42</v>
      </c>
      <c r="M1145" s="4">
        <f t="shared" si="71"/>
        <v>1.5378019208489523E+52</v>
      </c>
    </row>
    <row r="1146" spans="1:13" x14ac:dyDescent="0.2">
      <c r="A1146" s="3">
        <f>StartYear+1144</f>
        <v>3169</v>
      </c>
      <c r="B1146" s="4">
        <f>FacultyFTE*HoursPerWeek*WeeksPerYear*RatePerHour*(1+PracticeGrowth)^1144</f>
        <v>5.0113025539879962E+29</v>
      </c>
      <c r="C1146" s="4">
        <f>StudentsY1*(1+StudentGrowth)^1144*CreditsPerStudent*TuitionPerCredit</f>
        <v>3.1320640962424976E+30</v>
      </c>
      <c r="D1146" s="4">
        <f>SimRevY1*(1+SimGrowth)^1144</f>
        <v>1.1277214091496322E+52</v>
      </c>
      <c r="E1146" s="4">
        <f>FacDevRevY1*(1+FacDevGrowth)^1144</f>
        <v>5.638607045748161E+51</v>
      </c>
      <c r="F1146" s="4">
        <f t="shared" si="68"/>
        <v>1.6915821137244482E+52</v>
      </c>
      <c r="G1146" s="4">
        <f t="shared" si="69"/>
        <v>1.6915821137244482E+52</v>
      </c>
      <c r="H1146" s="4">
        <f>SalaryFTECount*SalaryPerFTE*(1+SalaryGrowth)^1144</f>
        <v>6.4321987089016774E+24</v>
      </c>
      <c r="I1146" s="4">
        <f>SimOpsY1*(1+SimOpsGrowth)^1144</f>
        <v>5.1748472128324266E+42</v>
      </c>
      <c r="J1146" s="4">
        <f>TrainDevY1*(1+TrainDevGrowth)^1144</f>
        <v>2.5874236064162133E+42</v>
      </c>
      <c r="K1146" s="4">
        <f>AdminY1*(1+AdminGrowth)^1144</f>
        <v>1.7821319593346408E+33</v>
      </c>
      <c r="L1146" s="4">
        <f t="shared" si="70"/>
        <v>7.7622708210307722E+42</v>
      </c>
      <c r="M1146" s="4">
        <f t="shared" si="71"/>
        <v>1.691582112948221E+52</v>
      </c>
    </row>
    <row r="1147" spans="1:13" x14ac:dyDescent="0.2">
      <c r="A1147" s="3">
        <f>StartYear+1145</f>
        <v>3170</v>
      </c>
      <c r="B1147" s="4">
        <f>FacultyFTE*HoursPerWeek*WeeksPerYear*RatePerHour*(1+PracticeGrowth)^1145</f>
        <v>5.2618676816873969E+29</v>
      </c>
      <c r="C1147" s="4">
        <f>StudentsY1*(1+StudentGrowth)^1145*CreditsPerStudent*TuitionPerCredit</f>
        <v>3.2886673010546229E+30</v>
      </c>
      <c r="D1147" s="4">
        <f>SimRevY1*(1+SimGrowth)^1145</f>
        <v>1.2404935500645958E+52</v>
      </c>
      <c r="E1147" s="4">
        <f>FacDevRevY1*(1+FacDevGrowth)^1145</f>
        <v>6.2024677503229791E+51</v>
      </c>
      <c r="F1147" s="4">
        <f t="shared" si="68"/>
        <v>1.8607403250968937E+52</v>
      </c>
      <c r="G1147" s="4">
        <f t="shared" si="69"/>
        <v>1.8607403250968937E+52</v>
      </c>
      <c r="H1147" s="4">
        <f>SalaryFTECount*SalaryPerFTE*(1+SalaryGrowth)^1145</f>
        <v>6.689486657257747E+24</v>
      </c>
      <c r="I1147" s="4">
        <f>SimOpsY1*(1+SimOpsGrowth)^1145</f>
        <v>5.5888349898590224E+42</v>
      </c>
      <c r="J1147" s="4">
        <f>TrainDevY1*(1+TrainDevGrowth)^1145</f>
        <v>2.7944174949295112E+42</v>
      </c>
      <c r="K1147" s="4">
        <f>AdminY1*(1+AdminGrowth)^1145</f>
        <v>1.8890598768947194E+33</v>
      </c>
      <c r="L1147" s="4">
        <f t="shared" si="70"/>
        <v>8.3832524866775929E+42</v>
      </c>
      <c r="M1147" s="4">
        <f t="shared" si="71"/>
        <v>1.8607403242585685E+52</v>
      </c>
    </row>
    <row r="1148" spans="1:13" x14ac:dyDescent="0.2">
      <c r="A1148" s="3">
        <f>StartYear+1146</f>
        <v>3171</v>
      </c>
      <c r="B1148" s="4">
        <f>FacultyFTE*HoursPerWeek*WeeksPerYear*RatePerHour*(1+PracticeGrowth)^1146</f>
        <v>5.5249610657717668E+29</v>
      </c>
      <c r="C1148" s="4">
        <f>StudentsY1*(1+StudentGrowth)^1146*CreditsPerStudent*TuitionPerCredit</f>
        <v>3.4531006661073546E+30</v>
      </c>
      <c r="D1148" s="4">
        <f>SimRevY1*(1+SimGrowth)^1146</f>
        <v>1.3645429050710553E+52</v>
      </c>
      <c r="E1148" s="4">
        <f>FacDevRevY1*(1+FacDevGrowth)^1146</f>
        <v>6.8227145253552765E+51</v>
      </c>
      <c r="F1148" s="4">
        <f t="shared" si="68"/>
        <v>2.0468143576065828E+52</v>
      </c>
      <c r="G1148" s="4">
        <f t="shared" si="69"/>
        <v>2.0468143576065828E+52</v>
      </c>
      <c r="H1148" s="4">
        <f>SalaryFTECount*SalaryPerFTE*(1+SalaryGrowth)^1146</f>
        <v>6.9570661235480536E+24</v>
      </c>
      <c r="I1148" s="4">
        <f>SimOpsY1*(1+SimOpsGrowth)^1146</f>
        <v>6.0359417890477431E+42</v>
      </c>
      <c r="J1148" s="4">
        <f>TrainDevY1*(1+TrainDevGrowth)^1146</f>
        <v>3.0179708945238716E+42</v>
      </c>
      <c r="K1148" s="4">
        <f>AdminY1*(1+AdminGrowth)^1146</f>
        <v>2.0024034695084025E+33</v>
      </c>
      <c r="L1148" s="4">
        <f t="shared" si="70"/>
        <v>9.0539126855740192E+42</v>
      </c>
      <c r="M1148" s="4">
        <f t="shared" si="71"/>
        <v>2.0468143567011917E+52</v>
      </c>
    </row>
    <row r="1149" spans="1:13" x14ac:dyDescent="0.2">
      <c r="A1149" s="3">
        <f>StartYear+1147</f>
        <v>3172</v>
      </c>
      <c r="B1149" s="4">
        <f>FacultyFTE*HoursPerWeek*WeeksPerYear*RatePerHour*(1+PracticeGrowth)^1147</f>
        <v>5.8012091190603558E+29</v>
      </c>
      <c r="C1149" s="4">
        <f>StudentsY1*(1+StudentGrowth)^1147*CreditsPerStudent*TuitionPerCredit</f>
        <v>3.6257556994127229E+30</v>
      </c>
      <c r="D1149" s="4">
        <f>SimRevY1*(1+SimGrowth)^1147</f>
        <v>1.5009971955781612E+52</v>
      </c>
      <c r="E1149" s="4">
        <f>FacDevRevY1*(1+FacDevGrowth)^1147</f>
        <v>7.5049859778908059E+51</v>
      </c>
      <c r="F1149" s="4">
        <f t="shared" si="68"/>
        <v>2.2514957933672416E+52</v>
      </c>
      <c r="G1149" s="4">
        <f t="shared" si="69"/>
        <v>2.2514957933672416E+52</v>
      </c>
      <c r="H1149" s="4">
        <f>SalaryFTECount*SalaryPerFTE*(1+SalaryGrowth)^1147</f>
        <v>7.2353487684899768E+24</v>
      </c>
      <c r="I1149" s="4">
        <f>SimOpsY1*(1+SimOpsGrowth)^1147</f>
        <v>6.5188171321715621E+42</v>
      </c>
      <c r="J1149" s="4">
        <f>TrainDevY1*(1+TrainDevGrowth)^1147</f>
        <v>3.259408566085781E+42</v>
      </c>
      <c r="K1149" s="4">
        <f>AdminY1*(1+AdminGrowth)^1147</f>
        <v>2.1225476776789072E+33</v>
      </c>
      <c r="L1149" s="4">
        <f t="shared" si="70"/>
        <v>9.778225700379891E+42</v>
      </c>
      <c r="M1149" s="4">
        <f t="shared" si="71"/>
        <v>2.251495792389419E+52</v>
      </c>
    </row>
    <row r="1150" spans="1:13" x14ac:dyDescent="0.2">
      <c r="A1150" s="3">
        <f>StartYear+1148</f>
        <v>3173</v>
      </c>
      <c r="B1150" s="4">
        <f>FacultyFTE*HoursPerWeek*WeeksPerYear*RatePerHour*(1+PracticeGrowth)^1148</f>
        <v>6.0912695750133725E+29</v>
      </c>
      <c r="C1150" s="4">
        <f>StudentsY1*(1+StudentGrowth)^1148*CreditsPerStudent*TuitionPerCredit</f>
        <v>3.8070434843833582E+30</v>
      </c>
      <c r="D1150" s="4">
        <f>SimRevY1*(1+SimGrowth)^1148</f>
        <v>1.6510969151359771E+52</v>
      </c>
      <c r="E1150" s="4">
        <f>FacDevRevY1*(1+FacDevGrowth)^1148</f>
        <v>8.2554845756798853E+51</v>
      </c>
      <c r="F1150" s="4">
        <f t="shared" si="68"/>
        <v>2.4766453727039653E+52</v>
      </c>
      <c r="G1150" s="4">
        <f t="shared" si="69"/>
        <v>2.4766453727039653E+52</v>
      </c>
      <c r="H1150" s="4">
        <f>SalaryFTECount*SalaryPerFTE*(1+SalaryGrowth)^1148</f>
        <v>7.5247627192295784E+24</v>
      </c>
      <c r="I1150" s="4">
        <f>SimOpsY1*(1+SimOpsGrowth)^1148</f>
        <v>7.0403225027452875E+42</v>
      </c>
      <c r="J1150" s="4">
        <f>TrainDevY1*(1+TrainDevGrowth)^1148</f>
        <v>3.5201612513726437E+42</v>
      </c>
      <c r="K1150" s="4">
        <f>AdminY1*(1+AdminGrowth)^1148</f>
        <v>2.249900538339641E+33</v>
      </c>
      <c r="L1150" s="4">
        <f t="shared" si="70"/>
        <v>1.0560483756367831E+43</v>
      </c>
      <c r="M1150" s="4">
        <f t="shared" si="71"/>
        <v>2.4766453716479171E+52</v>
      </c>
    </row>
    <row r="1151" spans="1:13" x14ac:dyDescent="0.2">
      <c r="A1151" s="3">
        <f>StartYear+1149</f>
        <v>3174</v>
      </c>
      <c r="B1151" s="4">
        <f>FacultyFTE*HoursPerWeek*WeeksPerYear*RatePerHour*(1+PracticeGrowth)^1149</f>
        <v>6.3958330537640429E+29</v>
      </c>
      <c r="C1151" s="4">
        <f>StudentsY1*(1+StudentGrowth)^1149*CreditsPerStudent*TuitionPerCredit</f>
        <v>3.9973956586025267E+30</v>
      </c>
      <c r="D1151" s="4">
        <f>SimRevY1*(1+SimGrowth)^1149</f>
        <v>1.816206606649575E+52</v>
      </c>
      <c r="E1151" s="4">
        <f>FacDevRevY1*(1+FacDevGrowth)^1149</f>
        <v>9.0810330332478751E+51</v>
      </c>
      <c r="F1151" s="4">
        <f t="shared" si="68"/>
        <v>2.7243099099743623E+52</v>
      </c>
      <c r="G1151" s="4">
        <f t="shared" si="69"/>
        <v>2.7243099099743623E+52</v>
      </c>
      <c r="H1151" s="4">
        <f>SalaryFTECount*SalaryPerFTE*(1+SalaryGrowth)^1149</f>
        <v>7.8257532279987611E+24</v>
      </c>
      <c r="I1151" s="4">
        <f>SimOpsY1*(1+SimOpsGrowth)^1149</f>
        <v>7.6035483029649111E+42</v>
      </c>
      <c r="J1151" s="4">
        <f>TrainDevY1*(1+TrainDevGrowth)^1149</f>
        <v>3.8017741514824555E+42</v>
      </c>
      <c r="K1151" s="4">
        <f>AdminY1*(1+AdminGrowth)^1149</f>
        <v>2.3848945706400206E+33</v>
      </c>
      <c r="L1151" s="4">
        <f t="shared" si="70"/>
        <v>1.1405322456832262E+43</v>
      </c>
      <c r="M1151" s="4">
        <f t="shared" si="71"/>
        <v>2.7243099088338299E+52</v>
      </c>
    </row>
    <row r="1152" spans="1:13" x14ac:dyDescent="0.2">
      <c r="A1152" s="3">
        <f>StartYear+1150</f>
        <v>3175</v>
      </c>
      <c r="B1152" s="4">
        <f>FacultyFTE*HoursPerWeek*WeeksPerYear*RatePerHour*(1+PracticeGrowth)^1150</f>
        <v>6.7156247064522409E+29</v>
      </c>
      <c r="C1152" s="4">
        <f>StudentsY1*(1+StudentGrowth)^1150*CreditsPerStudent*TuitionPerCredit</f>
        <v>4.1972654415326506E+30</v>
      </c>
      <c r="D1152" s="4">
        <f>SimRevY1*(1+SimGrowth)^1150</f>
        <v>1.997827267314533E+52</v>
      </c>
      <c r="E1152" s="4">
        <f>FacDevRevY1*(1+FacDevGrowth)^1150</f>
        <v>9.9891363365726648E+51</v>
      </c>
      <c r="F1152" s="4">
        <f t="shared" si="68"/>
        <v>2.9967409009717996E+52</v>
      </c>
      <c r="G1152" s="4">
        <f t="shared" si="69"/>
        <v>2.9967409009717996E+52</v>
      </c>
      <c r="H1152" s="4">
        <f>SalaryFTECount*SalaryPerFTE*(1+SalaryGrowth)^1150</f>
        <v>8.1387833571187105E+24</v>
      </c>
      <c r="I1152" s="4">
        <f>SimOpsY1*(1+SimOpsGrowth)^1150</f>
        <v>8.2118321672021056E+42</v>
      </c>
      <c r="J1152" s="4">
        <f>TrainDevY1*(1+TrainDevGrowth)^1150</f>
        <v>4.1059160836010528E+42</v>
      </c>
      <c r="K1152" s="4">
        <f>AdminY1*(1+AdminGrowth)^1150</f>
        <v>2.5279882448784217E+33</v>
      </c>
      <c r="L1152" s="4">
        <f t="shared" si="70"/>
        <v>1.2317748253331145E+43</v>
      </c>
      <c r="M1152" s="4">
        <f t="shared" si="71"/>
        <v>2.9967408997400247E+52</v>
      </c>
    </row>
    <row r="1153" spans="1:13" x14ac:dyDescent="0.2">
      <c r="A1153" s="3">
        <f>StartYear+1151</f>
        <v>3176</v>
      </c>
      <c r="B1153" s="4">
        <f>FacultyFTE*HoursPerWeek*WeeksPerYear*RatePerHour*(1+PracticeGrowth)^1151</f>
        <v>7.0514059417748575E+29</v>
      </c>
      <c r="C1153" s="4">
        <f>StudentsY1*(1+StudentGrowth)^1151*CreditsPerStudent*TuitionPerCredit</f>
        <v>4.4071287136092855E+30</v>
      </c>
      <c r="D1153" s="4">
        <f>SimRevY1*(1+SimGrowth)^1151</f>
        <v>2.1976099940459863E+52</v>
      </c>
      <c r="E1153" s="4">
        <f>FacDevRevY1*(1+FacDevGrowth)^1151</f>
        <v>1.0988049970229932E+52</v>
      </c>
      <c r="F1153" s="4">
        <f t="shared" si="68"/>
        <v>3.2964149910689796E+52</v>
      </c>
      <c r="G1153" s="4">
        <f t="shared" si="69"/>
        <v>3.2964149910689796E+52</v>
      </c>
      <c r="H1153" s="4">
        <f>SalaryFTECount*SalaryPerFTE*(1+SalaryGrowth)^1151</f>
        <v>8.4643346914034598E+24</v>
      </c>
      <c r="I1153" s="4">
        <f>SimOpsY1*(1+SimOpsGrowth)^1151</f>
        <v>8.8687787405782754E+42</v>
      </c>
      <c r="J1153" s="4">
        <f>TrainDevY1*(1+TrainDevGrowth)^1151</f>
        <v>4.4343893702891377E+42</v>
      </c>
      <c r="K1153" s="4">
        <f>AdminY1*(1+AdminGrowth)^1151</f>
        <v>2.6796675395711277E+33</v>
      </c>
      <c r="L1153" s="4">
        <f t="shared" si="70"/>
        <v>1.3303168113547079E+43</v>
      </c>
      <c r="M1153" s="4">
        <f t="shared" si="71"/>
        <v>3.2964149897386627E+52</v>
      </c>
    </row>
    <row r="1154" spans="1:13" x14ac:dyDescent="0.2">
      <c r="A1154" s="3">
        <f>StartYear+1152</f>
        <v>3177</v>
      </c>
      <c r="B1154" s="4">
        <f>FacultyFTE*HoursPerWeek*WeeksPerYear*RatePerHour*(1+PracticeGrowth)^1152</f>
        <v>7.4039762388635995E+29</v>
      </c>
      <c r="C1154" s="4">
        <f>StudentsY1*(1+StudentGrowth)^1152*CreditsPerStudent*TuitionPerCredit</f>
        <v>4.6274851492897497E+30</v>
      </c>
      <c r="D1154" s="4">
        <f>SimRevY1*(1+SimGrowth)^1152</f>
        <v>2.4173709934505846E+52</v>
      </c>
      <c r="E1154" s="4">
        <f>FacDevRevY1*(1+FacDevGrowth)^1152</f>
        <v>1.2086854967252923E+52</v>
      </c>
      <c r="F1154" s="4">
        <f t="shared" ref="F1154:F1217" si="72">C1154+D1154+E1154</f>
        <v>3.6260564901758771E+52</v>
      </c>
      <c r="G1154" s="4">
        <f t="shared" ref="G1154:G1217" si="73">B1154+F1154</f>
        <v>3.6260564901758771E+52</v>
      </c>
      <c r="H1154" s="4">
        <f>SalaryFTECount*SalaryPerFTE*(1+SalaryGrowth)^1152</f>
        <v>8.802908079059599E+24</v>
      </c>
      <c r="I1154" s="4">
        <f>SimOpsY1*(1+SimOpsGrowth)^1152</f>
        <v>9.5782810398245392E+42</v>
      </c>
      <c r="J1154" s="4">
        <f>TrainDevY1*(1+TrainDevGrowth)^1152</f>
        <v>4.7891405199122696E+42</v>
      </c>
      <c r="K1154" s="4">
        <f>AdminY1*(1+AdminGrowth)^1152</f>
        <v>2.8404475919453939E+33</v>
      </c>
      <c r="L1154" s="4">
        <f t="shared" ref="L1154:L1217" si="74">SUM(H1154:K1154)</f>
        <v>1.4367421562577256E+43</v>
      </c>
      <c r="M1154" s="4">
        <f t="shared" ref="M1154:M1217" si="75">G1154-L1154</f>
        <v>3.6260564887391348E+52</v>
      </c>
    </row>
    <row r="1155" spans="1:13" x14ac:dyDescent="0.2">
      <c r="A1155" s="3">
        <f>StartYear+1153</f>
        <v>3178</v>
      </c>
      <c r="B1155" s="4">
        <f>FacultyFTE*HoursPerWeek*WeeksPerYear*RatePerHour*(1+PracticeGrowth)^1153</f>
        <v>7.7741750508067796E+29</v>
      </c>
      <c r="C1155" s="4">
        <f>StudentsY1*(1+StudentGrowth)^1153*CreditsPerStudent*TuitionPerCredit</f>
        <v>4.8588594067542368E+30</v>
      </c>
      <c r="D1155" s="4">
        <f>SimRevY1*(1+SimGrowth)^1153</f>
        <v>2.6591080927956437E+52</v>
      </c>
      <c r="E1155" s="4">
        <f>FacDevRevY1*(1+FacDevGrowth)^1153</f>
        <v>1.3295540463978219E+52</v>
      </c>
      <c r="F1155" s="4">
        <f t="shared" si="72"/>
        <v>3.9886621391934656E+52</v>
      </c>
      <c r="G1155" s="4">
        <f t="shared" si="73"/>
        <v>3.9886621391934656E+52</v>
      </c>
      <c r="H1155" s="4">
        <f>SalaryFTECount*SalaryPerFTE*(1+SalaryGrowth)^1153</f>
        <v>9.1550244022219837E+24</v>
      </c>
      <c r="I1155" s="4">
        <f>SimOpsY1*(1+SimOpsGrowth)^1153</f>
        <v>1.0344543523010501E+43</v>
      </c>
      <c r="J1155" s="4">
        <f>TrainDevY1*(1+TrainDevGrowth)^1153</f>
        <v>5.1722717615052507E+42</v>
      </c>
      <c r="K1155" s="4">
        <f>AdminY1*(1+AdminGrowth)^1153</f>
        <v>3.0108744474621181E+33</v>
      </c>
      <c r="L1155" s="4">
        <f t="shared" si="74"/>
        <v>1.5516815287526628E+43</v>
      </c>
      <c r="M1155" s="4">
        <f t="shared" si="75"/>
        <v>3.9886621376417838E+52</v>
      </c>
    </row>
    <row r="1156" spans="1:13" x14ac:dyDescent="0.2">
      <c r="A1156" s="3">
        <f>StartYear+1154</f>
        <v>3179</v>
      </c>
      <c r="B1156" s="4">
        <f>FacultyFTE*HoursPerWeek*WeeksPerYear*RatePerHour*(1+PracticeGrowth)^1154</f>
        <v>8.1628838033471182E+29</v>
      </c>
      <c r="C1156" s="4">
        <f>StudentsY1*(1+StudentGrowth)^1154*CreditsPerStudent*TuitionPerCredit</f>
        <v>5.1018023770919483E+30</v>
      </c>
      <c r="D1156" s="4">
        <f>SimRevY1*(1+SimGrowth)^1154</f>
        <v>2.9250189020752081E+52</v>
      </c>
      <c r="E1156" s="4">
        <f>FacDevRevY1*(1+FacDevGrowth)^1154</f>
        <v>1.462509451037604E+52</v>
      </c>
      <c r="F1156" s="4">
        <f t="shared" si="72"/>
        <v>4.3875283531128119E+52</v>
      </c>
      <c r="G1156" s="4">
        <f t="shared" si="73"/>
        <v>4.3875283531128119E+52</v>
      </c>
      <c r="H1156" s="4">
        <f>SalaryFTECount*SalaryPerFTE*(1+SalaryGrowth)^1154</f>
        <v>9.5212253783108637E+24</v>
      </c>
      <c r="I1156" s="4">
        <f>SimOpsY1*(1+SimOpsGrowth)^1154</f>
        <v>1.117210700485134E+43</v>
      </c>
      <c r="J1156" s="4">
        <f>TrainDevY1*(1+TrainDevGrowth)^1154</f>
        <v>5.5860535024256701E+42</v>
      </c>
      <c r="K1156" s="4">
        <f>AdminY1*(1+AdminGrowth)^1154</f>
        <v>3.1915269143098458E+33</v>
      </c>
      <c r="L1156" s="4">
        <f t="shared" si="74"/>
        <v>1.6758160510468536E+43</v>
      </c>
      <c r="M1156" s="4">
        <f t="shared" si="75"/>
        <v>4.3875283514369956E+52</v>
      </c>
    </row>
    <row r="1157" spans="1:13" x14ac:dyDescent="0.2">
      <c r="A1157" s="3">
        <f>StartYear+1155</f>
        <v>3180</v>
      </c>
      <c r="B1157" s="4">
        <f>FacultyFTE*HoursPerWeek*WeeksPerYear*RatePerHour*(1+PracticeGrowth)^1155</f>
        <v>8.5710279935144746E+29</v>
      </c>
      <c r="C1157" s="4">
        <f>StudentsY1*(1+StudentGrowth)^1155*CreditsPerStudent*TuitionPerCredit</f>
        <v>5.3568924959465463E+30</v>
      </c>
      <c r="D1157" s="4">
        <f>SimRevY1*(1+SimGrowth)^1155</f>
        <v>3.2175207922827296E+52</v>
      </c>
      <c r="E1157" s="4">
        <f>FacDevRevY1*(1+FacDevGrowth)^1155</f>
        <v>1.6087603961413648E+52</v>
      </c>
      <c r="F1157" s="4">
        <f t="shared" si="72"/>
        <v>4.8262811884240941E+52</v>
      </c>
      <c r="G1157" s="4">
        <f t="shared" si="73"/>
        <v>4.8262811884240941E+52</v>
      </c>
      <c r="H1157" s="4">
        <f>SalaryFTECount*SalaryPerFTE*(1+SalaryGrowth)^1155</f>
        <v>9.902074393443299E+24</v>
      </c>
      <c r="I1157" s="4">
        <f>SimOpsY1*(1+SimOpsGrowth)^1155</f>
        <v>1.2065875565239449E+43</v>
      </c>
      <c r="J1157" s="4">
        <f>TrainDevY1*(1+TrainDevGrowth)^1155</f>
        <v>6.0329377826197243E+42</v>
      </c>
      <c r="K1157" s="4">
        <f>AdminY1*(1+AdminGrowth)^1155</f>
        <v>3.3830185291684368E+33</v>
      </c>
      <c r="L1157" s="4">
        <f t="shared" si="74"/>
        <v>1.8098813351242191E+43</v>
      </c>
      <c r="M1157" s="4">
        <f t="shared" si="75"/>
        <v>4.826281186614213E+52</v>
      </c>
    </row>
    <row r="1158" spans="1:13" x14ac:dyDescent="0.2">
      <c r="A1158" s="3">
        <f>StartYear+1156</f>
        <v>3181</v>
      </c>
      <c r="B1158" s="4">
        <f>FacultyFTE*HoursPerWeek*WeeksPerYear*RatePerHour*(1+PracticeGrowth)^1156</f>
        <v>8.9995793931901985E+29</v>
      </c>
      <c r="C1158" s="4">
        <f>StudentsY1*(1+StudentGrowth)^1156*CreditsPerStudent*TuitionPerCredit</f>
        <v>5.6247371207438734E+30</v>
      </c>
      <c r="D1158" s="4">
        <f>SimRevY1*(1+SimGrowth)^1156</f>
        <v>3.5392728715110021E+52</v>
      </c>
      <c r="E1158" s="4">
        <f>FacDevRevY1*(1+FacDevGrowth)^1156</f>
        <v>1.769636435755501E+52</v>
      </c>
      <c r="F1158" s="4">
        <f t="shared" si="72"/>
        <v>5.3089093072665026E+52</v>
      </c>
      <c r="G1158" s="4">
        <f t="shared" si="73"/>
        <v>5.3089093072665026E+52</v>
      </c>
      <c r="H1158" s="4">
        <f>SalaryFTECount*SalaryPerFTE*(1+SalaryGrowth)^1156</f>
        <v>1.029815736918103E+25</v>
      </c>
      <c r="I1158" s="4">
        <f>SimOpsY1*(1+SimOpsGrowth)^1156</f>
        <v>1.3031145610458607E+43</v>
      </c>
      <c r="J1158" s="4">
        <f>TrainDevY1*(1+TrainDevGrowth)^1156</f>
        <v>6.5155728052293036E+42</v>
      </c>
      <c r="K1158" s="4">
        <f>AdminY1*(1+AdminGrowth)^1156</f>
        <v>3.5859996409185424E+33</v>
      </c>
      <c r="L1158" s="4">
        <f t="shared" si="74"/>
        <v>1.9546718419273911E+43</v>
      </c>
      <c r="M1158" s="4">
        <f t="shared" si="75"/>
        <v>5.3089093053118303E+52</v>
      </c>
    </row>
    <row r="1159" spans="1:13" x14ac:dyDescent="0.2">
      <c r="A1159" s="3">
        <f>StartYear+1157</f>
        <v>3182</v>
      </c>
      <c r="B1159" s="4">
        <f>FacultyFTE*HoursPerWeek*WeeksPerYear*RatePerHour*(1+PracticeGrowth)^1157</f>
        <v>9.4495583628497094E+29</v>
      </c>
      <c r="C1159" s="4">
        <f>StudentsY1*(1+StudentGrowth)^1157*CreditsPerStudent*TuitionPerCredit</f>
        <v>5.9059739767810679E+30</v>
      </c>
      <c r="D1159" s="4">
        <f>SimRevY1*(1+SimGrowth)^1157</f>
        <v>3.8932001586621026E+52</v>
      </c>
      <c r="E1159" s="4">
        <f>FacDevRevY1*(1+FacDevGrowth)^1157</f>
        <v>1.9466000793310513E+52</v>
      </c>
      <c r="F1159" s="4">
        <f t="shared" si="72"/>
        <v>5.8398002379931539E+52</v>
      </c>
      <c r="G1159" s="4">
        <f t="shared" si="73"/>
        <v>5.8398002379931539E+52</v>
      </c>
      <c r="H1159" s="4">
        <f>SalaryFTECount*SalaryPerFTE*(1+SalaryGrowth)^1157</f>
        <v>1.0710083663948274E+25</v>
      </c>
      <c r="I1159" s="4">
        <f>SimOpsY1*(1+SimOpsGrowth)^1157</f>
        <v>1.4073637259295297E+43</v>
      </c>
      <c r="J1159" s="4">
        <f>TrainDevY1*(1+TrainDevGrowth)^1157</f>
        <v>7.0368186296476485E+42</v>
      </c>
      <c r="K1159" s="4">
        <f>AdminY1*(1+AdminGrowth)^1157</f>
        <v>3.8011596193736551E+33</v>
      </c>
      <c r="L1159" s="4">
        <f t="shared" si="74"/>
        <v>2.1110455892744105E+43</v>
      </c>
      <c r="M1159" s="4">
        <f t="shared" si="75"/>
        <v>5.839800235882108E+52</v>
      </c>
    </row>
    <row r="1160" spans="1:13" x14ac:dyDescent="0.2">
      <c r="A1160" s="3">
        <f>StartYear+1158</f>
        <v>3183</v>
      </c>
      <c r="B1160" s="4">
        <f>FacultyFTE*HoursPerWeek*WeeksPerYear*RatePerHour*(1+PracticeGrowth)^1158</f>
        <v>9.9220362809921931E+29</v>
      </c>
      <c r="C1160" s="4">
        <f>StudentsY1*(1+StudentGrowth)^1158*CreditsPerStudent*TuitionPerCredit</f>
        <v>6.2012726756201206E+30</v>
      </c>
      <c r="D1160" s="4">
        <f>SimRevY1*(1+SimGrowth)^1158</f>
        <v>4.2825201745283141E+52</v>
      </c>
      <c r="E1160" s="4">
        <f>FacDevRevY1*(1+FacDevGrowth)^1158</f>
        <v>2.1412600872641571E+52</v>
      </c>
      <c r="F1160" s="4">
        <f t="shared" si="72"/>
        <v>6.4237802617924712E+52</v>
      </c>
      <c r="G1160" s="4">
        <f t="shared" si="73"/>
        <v>6.4237802617924712E+52</v>
      </c>
      <c r="H1160" s="4">
        <f>SalaryFTECount*SalaryPerFTE*(1+SalaryGrowth)^1158</f>
        <v>1.1138487010506206E+25</v>
      </c>
      <c r="I1160" s="4">
        <f>SimOpsY1*(1+SimOpsGrowth)^1158</f>
        <v>1.5199528240038921E+43</v>
      </c>
      <c r="J1160" s="4">
        <f>TrainDevY1*(1+TrainDevGrowth)^1158</f>
        <v>7.5997641200194604E+42</v>
      </c>
      <c r="K1160" s="4">
        <f>AdminY1*(1+AdminGrowth)^1158</f>
        <v>4.0292291965360758E+33</v>
      </c>
      <c r="L1160" s="4">
        <f t="shared" si="74"/>
        <v>2.2799292364087608E+43</v>
      </c>
      <c r="M1160" s="4">
        <f t="shared" si="75"/>
        <v>6.4237802595125421E+52</v>
      </c>
    </row>
    <row r="1161" spans="1:13" x14ac:dyDescent="0.2">
      <c r="A1161" s="3">
        <f>StartYear+1159</f>
        <v>3184</v>
      </c>
      <c r="B1161" s="4">
        <f>FacultyFTE*HoursPerWeek*WeeksPerYear*RatePerHour*(1+PracticeGrowth)^1159</f>
        <v>1.0418138095041804E+30</v>
      </c>
      <c r="C1161" s="4">
        <f>StudentsY1*(1+StudentGrowth)^1159*CreditsPerStudent*TuitionPerCredit</f>
        <v>6.5113363094011274E+30</v>
      </c>
      <c r="D1161" s="4">
        <f>SimRevY1*(1+SimGrowth)^1159</f>
        <v>4.7107721919811463E+52</v>
      </c>
      <c r="E1161" s="4">
        <f>FacDevRevY1*(1+FacDevGrowth)^1159</f>
        <v>2.3553860959905731E+52</v>
      </c>
      <c r="F1161" s="4">
        <f t="shared" si="72"/>
        <v>7.0661582879717191E+52</v>
      </c>
      <c r="G1161" s="4">
        <f t="shared" si="73"/>
        <v>7.0661582879717191E+52</v>
      </c>
      <c r="H1161" s="4">
        <f>SalaryFTECount*SalaryPerFTE*(1+SalaryGrowth)^1159</f>
        <v>1.1584026490926452E+25</v>
      </c>
      <c r="I1161" s="4">
        <f>SimOpsY1*(1+SimOpsGrowth)^1159</f>
        <v>1.6415490499242037E+43</v>
      </c>
      <c r="J1161" s="4">
        <f>TrainDevY1*(1+TrainDevGrowth)^1159</f>
        <v>8.2077452496210184E+42</v>
      </c>
      <c r="K1161" s="4">
        <f>AdminY1*(1+AdminGrowth)^1159</f>
        <v>4.2709829483282404E+33</v>
      </c>
      <c r="L1161" s="4">
        <f t="shared" si="74"/>
        <v>2.4623235753134038E+43</v>
      </c>
      <c r="M1161" s="4">
        <f t="shared" si="75"/>
        <v>7.0661582855093955E+52</v>
      </c>
    </row>
    <row r="1162" spans="1:13" x14ac:dyDescent="0.2">
      <c r="A1162" s="3">
        <f>StartYear+1160</f>
        <v>3185</v>
      </c>
      <c r="B1162" s="4">
        <f>FacultyFTE*HoursPerWeek*WeeksPerYear*RatePerHour*(1+PracticeGrowth)^1160</f>
        <v>1.0939044999793894E+30</v>
      </c>
      <c r="C1162" s="4">
        <f>StudentsY1*(1+StudentGrowth)^1160*CreditsPerStudent*TuitionPerCredit</f>
        <v>6.8369031248711838E+30</v>
      </c>
      <c r="D1162" s="4">
        <f>SimRevY1*(1+SimGrowth)^1160</f>
        <v>5.1818494111792604E+52</v>
      </c>
      <c r="E1162" s="4">
        <f>FacDevRevY1*(1+FacDevGrowth)^1160</f>
        <v>2.5909247055896302E+52</v>
      </c>
      <c r="F1162" s="4">
        <f t="shared" si="72"/>
        <v>7.7727741167688906E+52</v>
      </c>
      <c r="G1162" s="4">
        <f t="shared" si="73"/>
        <v>7.7727741167688906E+52</v>
      </c>
      <c r="H1162" s="4">
        <f>SalaryFTECount*SalaryPerFTE*(1+SalaryGrowth)^1160</f>
        <v>1.2047387550563513E+25</v>
      </c>
      <c r="I1162" s="4">
        <f>SimOpsY1*(1+SimOpsGrowth)^1160</f>
        <v>1.7728729739181398E+43</v>
      </c>
      <c r="J1162" s="4">
        <f>TrainDevY1*(1+TrainDevGrowth)^1160</f>
        <v>8.8643648695906992E+42</v>
      </c>
      <c r="K1162" s="4">
        <f>AdminY1*(1+AdminGrowth)^1160</f>
        <v>4.5272419252279347E+33</v>
      </c>
      <c r="L1162" s="4">
        <f t="shared" si="74"/>
        <v>2.6593094613299337E+43</v>
      </c>
      <c r="M1162" s="4">
        <f t="shared" si="75"/>
        <v>7.7727741141095807E+52</v>
      </c>
    </row>
    <row r="1163" spans="1:13" x14ac:dyDescent="0.2">
      <c r="A1163" s="3">
        <f>StartYear+1161</f>
        <v>3186</v>
      </c>
      <c r="B1163" s="4">
        <f>FacultyFTE*HoursPerWeek*WeeksPerYear*RatePerHour*(1+PracticeGrowth)^1161</f>
        <v>1.1485997249783589E+30</v>
      </c>
      <c r="C1163" s="4">
        <f>StudentsY1*(1+StudentGrowth)^1161*CreditsPerStudent*TuitionPerCredit</f>
        <v>7.1787482811147421E+30</v>
      </c>
      <c r="D1163" s="4">
        <f>SimRevY1*(1+SimGrowth)^1161</f>
        <v>5.700034352297186E+52</v>
      </c>
      <c r="E1163" s="4">
        <f>FacDevRevY1*(1+FacDevGrowth)^1161</f>
        <v>2.850017176148593E+52</v>
      </c>
      <c r="F1163" s="4">
        <f t="shared" si="72"/>
        <v>8.5500515284457785E+52</v>
      </c>
      <c r="G1163" s="4">
        <f t="shared" si="73"/>
        <v>8.5500515284457785E+52</v>
      </c>
      <c r="H1163" s="4">
        <f>SalaryFTECount*SalaryPerFTE*(1+SalaryGrowth)^1161</f>
        <v>1.2529283052586054E+25</v>
      </c>
      <c r="I1163" s="4">
        <f>SimOpsY1*(1+SimOpsGrowth)^1161</f>
        <v>1.9147028118315913E+43</v>
      </c>
      <c r="J1163" s="4">
        <f>TrainDevY1*(1+TrainDevGrowth)^1161</f>
        <v>9.5735140591579565E+42</v>
      </c>
      <c r="K1163" s="4">
        <f>AdminY1*(1+AdminGrowth)^1161</f>
        <v>4.7988764407416101E+33</v>
      </c>
      <c r="L1163" s="4">
        <f t="shared" si="74"/>
        <v>2.8720542182272743E+43</v>
      </c>
      <c r="M1163" s="4">
        <f t="shared" si="75"/>
        <v>8.5500515255737241E+52</v>
      </c>
    </row>
    <row r="1164" spans="1:13" x14ac:dyDescent="0.2">
      <c r="A1164" s="3">
        <f>StartYear+1162</f>
        <v>3187</v>
      </c>
      <c r="B1164" s="4">
        <f>FacultyFTE*HoursPerWeek*WeeksPerYear*RatePerHour*(1+PracticeGrowth)^1162</f>
        <v>1.2060297112272768E+30</v>
      </c>
      <c r="C1164" s="4">
        <f>StudentsY1*(1+StudentGrowth)^1162*CreditsPerStudent*TuitionPerCredit</f>
        <v>7.5376856951704791E+30</v>
      </c>
      <c r="D1164" s="4">
        <f>SimRevY1*(1+SimGrowth)^1162</f>
        <v>6.2700377875269052E+52</v>
      </c>
      <c r="E1164" s="4">
        <f>FacDevRevY1*(1+FacDevGrowth)^1162</f>
        <v>3.1350188937634526E+52</v>
      </c>
      <c r="F1164" s="4">
        <f t="shared" si="72"/>
        <v>9.4050566812903583E+52</v>
      </c>
      <c r="G1164" s="4">
        <f t="shared" si="73"/>
        <v>9.4050566812903583E+52</v>
      </c>
      <c r="H1164" s="4">
        <f>SalaryFTECount*SalaryPerFTE*(1+SalaryGrowth)^1162</f>
        <v>1.3030454374689495E+25</v>
      </c>
      <c r="I1164" s="4">
        <f>SimOpsY1*(1+SimOpsGrowth)^1162</f>
        <v>2.0678790367781189E+43</v>
      </c>
      <c r="J1164" s="4">
        <f>TrainDevY1*(1+TrainDevGrowth)^1162</f>
        <v>1.0339395183890594E+43</v>
      </c>
      <c r="K1164" s="4">
        <f>AdminY1*(1+AdminGrowth)^1162</f>
        <v>5.0868090271861075E+33</v>
      </c>
      <c r="L1164" s="4">
        <f t="shared" si="74"/>
        <v>3.1018185556758594E+43</v>
      </c>
      <c r="M1164" s="4">
        <f t="shared" si="75"/>
        <v>9.4050566781885399E+52</v>
      </c>
    </row>
    <row r="1165" spans="1:13" x14ac:dyDescent="0.2">
      <c r="A1165" s="3">
        <f>StartYear+1163</f>
        <v>3188</v>
      </c>
      <c r="B1165" s="4">
        <f>FacultyFTE*HoursPerWeek*WeeksPerYear*RatePerHour*(1+PracticeGrowth)^1163</f>
        <v>1.2663311967886408E+30</v>
      </c>
      <c r="C1165" s="4">
        <f>StudentsY1*(1+StudentGrowth)^1163*CreditsPerStudent*TuitionPerCredit</f>
        <v>7.9145699799290044E+30</v>
      </c>
      <c r="D1165" s="4">
        <f>SimRevY1*(1+SimGrowth)^1163</f>
        <v>6.8970415662795966E+52</v>
      </c>
      <c r="E1165" s="4">
        <f>FacDevRevY1*(1+FacDevGrowth)^1163</f>
        <v>3.4485207831397983E+52</v>
      </c>
      <c r="F1165" s="4">
        <f t="shared" si="72"/>
        <v>1.0345562349419394E+53</v>
      </c>
      <c r="G1165" s="4">
        <f t="shared" si="73"/>
        <v>1.0345562349419394E+53</v>
      </c>
      <c r="H1165" s="4">
        <f>SalaryFTECount*SalaryPerFTE*(1+SalaryGrowth)^1163</f>
        <v>1.3551672549677075E+25</v>
      </c>
      <c r="I1165" s="4">
        <f>SimOpsY1*(1+SimOpsGrowth)^1163</f>
        <v>2.2333093597203677E+43</v>
      </c>
      <c r="J1165" s="4">
        <f>TrainDevY1*(1+TrainDevGrowth)^1163</f>
        <v>1.1166546798601839E+43</v>
      </c>
      <c r="K1165" s="4">
        <f>AdminY1*(1+AdminGrowth)^1163</f>
        <v>5.392017568817275E+33</v>
      </c>
      <c r="L1165" s="4">
        <f t="shared" si="74"/>
        <v>3.3499640401197535E+43</v>
      </c>
      <c r="M1165" s="4">
        <f t="shared" si="75"/>
        <v>1.0345562346069429E+53</v>
      </c>
    </row>
    <row r="1166" spans="1:13" x14ac:dyDescent="0.2">
      <c r="A1166" s="3">
        <f>StartYear+1164</f>
        <v>3189</v>
      </c>
      <c r="B1166" s="4">
        <f>FacultyFTE*HoursPerWeek*WeeksPerYear*RatePerHour*(1+PracticeGrowth)^1164</f>
        <v>1.3296477566280726E+30</v>
      </c>
      <c r="C1166" s="4">
        <f>StudentsY1*(1+StudentGrowth)^1164*CreditsPerStudent*TuitionPerCredit</f>
        <v>8.3102984789254549E+30</v>
      </c>
      <c r="D1166" s="4">
        <f>SimRevY1*(1+SimGrowth)^1164</f>
        <v>7.5867457229075569E+52</v>
      </c>
      <c r="E1166" s="4">
        <f>FacDevRevY1*(1+FacDevGrowth)^1164</f>
        <v>3.7933728614537785E+52</v>
      </c>
      <c r="F1166" s="4">
        <f t="shared" si="72"/>
        <v>1.1380118584361335E+53</v>
      </c>
      <c r="G1166" s="4">
        <f t="shared" si="73"/>
        <v>1.1380118584361335E+53</v>
      </c>
      <c r="H1166" s="4">
        <f>SalaryFTECount*SalaryPerFTE*(1+SalaryGrowth)^1164</f>
        <v>1.409373945166416E+25</v>
      </c>
      <c r="I1166" s="4">
        <f>SimOpsY1*(1+SimOpsGrowth)^1164</f>
        <v>2.4119741084979977E+43</v>
      </c>
      <c r="J1166" s="4">
        <f>TrainDevY1*(1+TrainDevGrowth)^1164</f>
        <v>1.2059870542489989E+43</v>
      </c>
      <c r="K1166" s="4">
        <f>AdminY1*(1+AdminGrowth)^1164</f>
        <v>5.7155386229463121E+33</v>
      </c>
      <c r="L1166" s="4">
        <f t="shared" si="74"/>
        <v>3.6179611633185505E+43</v>
      </c>
      <c r="M1166" s="4">
        <f t="shared" si="75"/>
        <v>1.1380118580743375E+53</v>
      </c>
    </row>
    <row r="1167" spans="1:13" x14ac:dyDescent="0.2">
      <c r="A1167" s="3">
        <f>StartYear+1165</f>
        <v>3190</v>
      </c>
      <c r="B1167" s="4">
        <f>FacultyFTE*HoursPerWeek*WeeksPerYear*RatePerHour*(1+PracticeGrowth)^1165</f>
        <v>1.3961301444594766E+30</v>
      </c>
      <c r="C1167" s="4">
        <f>StudentsY1*(1+StudentGrowth)^1165*CreditsPerStudent*TuitionPerCredit</f>
        <v>8.7258134028717285E+30</v>
      </c>
      <c r="D1167" s="4">
        <f>SimRevY1*(1+SimGrowth)^1165</f>
        <v>8.3454202951983118E+52</v>
      </c>
      <c r="E1167" s="4">
        <f>FacDevRevY1*(1+FacDevGrowth)^1165</f>
        <v>4.1727101475991559E+52</v>
      </c>
      <c r="F1167" s="4">
        <f t="shared" si="72"/>
        <v>1.2518130442797469E+53</v>
      </c>
      <c r="G1167" s="4">
        <f t="shared" si="73"/>
        <v>1.2518130442797469E+53</v>
      </c>
      <c r="H1167" s="4">
        <f>SalaryFTECount*SalaryPerFTE*(1+SalaryGrowth)^1165</f>
        <v>1.4657489029730728E+25</v>
      </c>
      <c r="I1167" s="4">
        <f>SimOpsY1*(1+SimOpsGrowth)^1165</f>
        <v>2.6049320371778377E+43</v>
      </c>
      <c r="J1167" s="4">
        <f>TrainDevY1*(1+TrainDevGrowth)^1165</f>
        <v>1.3024660185889189E+43</v>
      </c>
      <c r="K1167" s="4">
        <f>AdminY1*(1+AdminGrowth)^1165</f>
        <v>6.0584709403230902E+33</v>
      </c>
      <c r="L1167" s="4">
        <f t="shared" si="74"/>
        <v>3.9073980563726034E+43</v>
      </c>
      <c r="M1167" s="4">
        <f t="shared" si="75"/>
        <v>1.251813043889007E+53</v>
      </c>
    </row>
    <row r="1168" spans="1:13" x14ac:dyDescent="0.2">
      <c r="A1168" s="3">
        <f>StartYear+1166</f>
        <v>3191</v>
      </c>
      <c r="B1168" s="4">
        <f>FacultyFTE*HoursPerWeek*WeeksPerYear*RatePerHour*(1+PracticeGrowth)^1166</f>
        <v>1.4659366516824499E+30</v>
      </c>
      <c r="C1168" s="4">
        <f>StudentsY1*(1+StudentGrowth)^1166*CreditsPerStudent*TuitionPerCredit</f>
        <v>9.1621040730153124E+30</v>
      </c>
      <c r="D1168" s="4">
        <f>SimRevY1*(1+SimGrowth)^1166</f>
        <v>9.1799623247181455E+52</v>
      </c>
      <c r="E1168" s="4">
        <f>FacDevRevY1*(1+FacDevGrowth)^1166</f>
        <v>4.5899811623590728E+52</v>
      </c>
      <c r="F1168" s="4">
        <f t="shared" si="72"/>
        <v>1.3769943487077218E+53</v>
      </c>
      <c r="G1168" s="4">
        <f t="shared" si="73"/>
        <v>1.3769943487077218E+53</v>
      </c>
      <c r="H1168" s="4">
        <f>SalaryFTECount*SalaryPerFTE*(1+SalaryGrowth)^1166</f>
        <v>1.5243788590919957E+25</v>
      </c>
      <c r="I1168" s="4">
        <f>SimOpsY1*(1+SimOpsGrowth)^1166</f>
        <v>2.8133266001520653E+43</v>
      </c>
      <c r="J1168" s="4">
        <f>TrainDevY1*(1+TrainDevGrowth)^1166</f>
        <v>1.4066633000760327E+43</v>
      </c>
      <c r="K1168" s="4">
        <f>AdminY1*(1+AdminGrowth)^1166</f>
        <v>6.4219791967424763E+33</v>
      </c>
      <c r="L1168" s="4">
        <f t="shared" si="74"/>
        <v>4.2199899008702959E+43</v>
      </c>
      <c r="M1168" s="4">
        <f t="shared" si="75"/>
        <v>1.3769943482857227E+53</v>
      </c>
    </row>
    <row r="1169" spans="1:13" x14ac:dyDescent="0.2">
      <c r="A1169" s="3">
        <f>StartYear+1167</f>
        <v>3192</v>
      </c>
      <c r="B1169" s="4">
        <f>FacultyFTE*HoursPerWeek*WeeksPerYear*RatePerHour*(1+PracticeGrowth)^1167</f>
        <v>1.5392334842665731E+30</v>
      </c>
      <c r="C1169" s="4">
        <f>StudentsY1*(1+StudentGrowth)^1167*CreditsPerStudent*TuitionPerCredit</f>
        <v>9.6202092766660825E+30</v>
      </c>
      <c r="D1169" s="4">
        <f>SimRevY1*(1+SimGrowth)^1167</f>
        <v>1.009795855718996E+53</v>
      </c>
      <c r="E1169" s="4">
        <f>FacDevRevY1*(1+FacDevGrowth)^1167</f>
        <v>5.04897927859498E+52</v>
      </c>
      <c r="F1169" s="4">
        <f t="shared" si="72"/>
        <v>1.514693783578494E+53</v>
      </c>
      <c r="G1169" s="4">
        <f t="shared" si="73"/>
        <v>1.514693783578494E+53</v>
      </c>
      <c r="H1169" s="4">
        <f>SalaryFTECount*SalaryPerFTE*(1+SalaryGrowth)^1167</f>
        <v>1.5853540134556756E+25</v>
      </c>
      <c r="I1169" s="4">
        <f>SimOpsY1*(1+SimOpsGrowth)^1167</f>
        <v>3.0383927281642306E+43</v>
      </c>
      <c r="J1169" s="4">
        <f>TrainDevY1*(1+TrainDevGrowth)^1167</f>
        <v>1.5191963640821153E+43</v>
      </c>
      <c r="K1169" s="4">
        <f>AdminY1*(1+AdminGrowth)^1167</f>
        <v>6.8072979485470265E+33</v>
      </c>
      <c r="L1169" s="4">
        <f t="shared" si="74"/>
        <v>4.557589092927075E+43</v>
      </c>
      <c r="M1169" s="4">
        <f t="shared" si="75"/>
        <v>1.5146937831227351E+53</v>
      </c>
    </row>
    <row r="1170" spans="1:13" x14ac:dyDescent="0.2">
      <c r="A1170" s="3">
        <f>StartYear+1168</f>
        <v>3193</v>
      </c>
      <c r="B1170" s="4">
        <f>FacultyFTE*HoursPerWeek*WeeksPerYear*RatePerHour*(1+PracticeGrowth)^1168</f>
        <v>1.6161951584799014E+30</v>
      </c>
      <c r="C1170" s="4">
        <f>StudentsY1*(1+StudentGrowth)^1168*CreditsPerStudent*TuitionPerCredit</f>
        <v>1.0101219740499384E+31</v>
      </c>
      <c r="D1170" s="4">
        <f>SimRevY1*(1+SimGrowth)^1168</f>
        <v>1.1107754412908956E+53</v>
      </c>
      <c r="E1170" s="4">
        <f>FacDevRevY1*(1+FacDevGrowth)^1168</f>
        <v>5.553877206454478E+52</v>
      </c>
      <c r="F1170" s="4">
        <f t="shared" si="72"/>
        <v>1.6661631619363435E+53</v>
      </c>
      <c r="G1170" s="4">
        <f t="shared" si="73"/>
        <v>1.6661631619363435E+53</v>
      </c>
      <c r="H1170" s="4">
        <f>SalaryFTECount*SalaryPerFTE*(1+SalaryGrowth)^1168</f>
        <v>1.6487681739939026E+25</v>
      </c>
      <c r="I1170" s="4">
        <f>SimOpsY1*(1+SimOpsGrowth)^1168</f>
        <v>3.2814641464173688E+43</v>
      </c>
      <c r="J1170" s="4">
        <f>TrainDevY1*(1+TrainDevGrowth)^1168</f>
        <v>1.6407320732086844E+43</v>
      </c>
      <c r="K1170" s="4">
        <f>AdminY1*(1+AdminGrowth)^1168</f>
        <v>7.2157358254598463E+33</v>
      </c>
      <c r="L1170" s="4">
        <f t="shared" si="74"/>
        <v>4.9221962203476269E+43</v>
      </c>
      <c r="M1170" s="4">
        <f t="shared" si="75"/>
        <v>1.6661631614441238E+53</v>
      </c>
    </row>
    <row r="1171" spans="1:13" x14ac:dyDescent="0.2">
      <c r="A1171" s="3">
        <f>StartYear+1169</f>
        <v>3194</v>
      </c>
      <c r="B1171" s="4">
        <f>FacultyFTE*HoursPerWeek*WeeksPerYear*RatePerHour*(1+PracticeGrowth)^1169</f>
        <v>1.6970049164038969E+30</v>
      </c>
      <c r="C1171" s="4">
        <f>StudentsY1*(1+StudentGrowth)^1169*CreditsPerStudent*TuitionPerCredit</f>
        <v>1.0606280727524355E+31</v>
      </c>
      <c r="D1171" s="4">
        <f>SimRevY1*(1+SimGrowth)^1169</f>
        <v>1.2218529854199853E+53</v>
      </c>
      <c r="E1171" s="4">
        <f>FacDevRevY1*(1+FacDevGrowth)^1169</f>
        <v>6.1092649270999263E+52</v>
      </c>
      <c r="F1171" s="4">
        <f t="shared" si="72"/>
        <v>1.8327794781299779E+53</v>
      </c>
      <c r="G1171" s="4">
        <f t="shared" si="73"/>
        <v>1.8327794781299779E+53</v>
      </c>
      <c r="H1171" s="4">
        <f>SalaryFTECount*SalaryPerFTE*(1+SalaryGrowth)^1169</f>
        <v>1.714718900953659E+25</v>
      </c>
      <c r="I1171" s="4">
        <f>SimOpsY1*(1+SimOpsGrowth)^1169</f>
        <v>3.5439812781307579E+43</v>
      </c>
      <c r="J1171" s="4">
        <f>TrainDevY1*(1+TrainDevGrowth)^1169</f>
        <v>1.7719906390653789E+43</v>
      </c>
      <c r="K1171" s="4">
        <f>AdminY1*(1+AdminGrowth)^1169</f>
        <v>7.6486799749874378E+33</v>
      </c>
      <c r="L1171" s="4">
        <f t="shared" si="74"/>
        <v>5.3159719179610042E+43</v>
      </c>
      <c r="M1171" s="4">
        <f t="shared" si="75"/>
        <v>1.8327794775983807E+53</v>
      </c>
    </row>
    <row r="1172" spans="1:13" x14ac:dyDescent="0.2">
      <c r="A1172" s="3">
        <f>StartYear+1170</f>
        <v>3195</v>
      </c>
      <c r="B1172" s="4">
        <f>FacultyFTE*HoursPerWeek*WeeksPerYear*RatePerHour*(1+PracticeGrowth)^1170</f>
        <v>1.7818551622240914E+30</v>
      </c>
      <c r="C1172" s="4">
        <f>StudentsY1*(1+StudentGrowth)^1170*CreditsPerStudent*TuitionPerCredit</f>
        <v>1.1136594763900573E+31</v>
      </c>
      <c r="D1172" s="4">
        <f>SimRevY1*(1+SimGrowth)^1170</f>
        <v>1.3440382839619838E+53</v>
      </c>
      <c r="E1172" s="4">
        <f>FacDevRevY1*(1+FacDevGrowth)^1170</f>
        <v>6.7201914198099192E+52</v>
      </c>
      <c r="F1172" s="4">
        <f t="shared" si="72"/>
        <v>2.0160574259429755E+53</v>
      </c>
      <c r="G1172" s="4">
        <f t="shared" si="73"/>
        <v>2.0160574259429755E+53</v>
      </c>
      <c r="H1172" s="4">
        <f>SalaryFTECount*SalaryPerFTE*(1+SalaryGrowth)^1170</f>
        <v>1.7833076569918053E+25</v>
      </c>
      <c r="I1172" s="4">
        <f>SimOpsY1*(1+SimOpsGrowth)^1170</f>
        <v>3.8274997803812191E+43</v>
      </c>
      <c r="J1172" s="4">
        <f>TrainDevY1*(1+TrainDevGrowth)^1170</f>
        <v>1.9137498901906095E+43</v>
      </c>
      <c r="K1172" s="4">
        <f>AdminY1*(1+AdminGrowth)^1170</f>
        <v>8.1076007734866838E+33</v>
      </c>
      <c r="L1172" s="4">
        <f t="shared" si="74"/>
        <v>5.7412496713825877E+43</v>
      </c>
      <c r="M1172" s="4">
        <f t="shared" si="75"/>
        <v>2.0160574253688507E+53</v>
      </c>
    </row>
    <row r="1173" spans="1:13" x14ac:dyDescent="0.2">
      <c r="A1173" s="3">
        <f>StartYear+1171</f>
        <v>3196</v>
      </c>
      <c r="B1173" s="4">
        <f>FacultyFTE*HoursPerWeek*WeeksPerYear*RatePerHour*(1+PracticeGrowth)^1171</f>
        <v>1.8709479203352963E+30</v>
      </c>
      <c r="C1173" s="4">
        <f>StudentsY1*(1+StudentGrowth)^1171*CreditsPerStudent*TuitionPerCredit</f>
        <v>1.16934245020956E+31</v>
      </c>
      <c r="D1173" s="4">
        <f>SimRevY1*(1+SimGrowth)^1171</f>
        <v>1.4784421123581826E+53</v>
      </c>
      <c r="E1173" s="4">
        <f>FacDevRevY1*(1+FacDevGrowth)^1171</f>
        <v>7.3922105617909128E+52</v>
      </c>
      <c r="F1173" s="4">
        <f t="shared" si="72"/>
        <v>2.2176631685372739E+53</v>
      </c>
      <c r="G1173" s="4">
        <f t="shared" si="73"/>
        <v>2.2176631685372739E+53</v>
      </c>
      <c r="H1173" s="4">
        <f>SalaryFTECount*SalaryPerFTE*(1+SalaryGrowth)^1171</f>
        <v>1.8546399632714778E+25</v>
      </c>
      <c r="I1173" s="4">
        <f>SimOpsY1*(1+SimOpsGrowth)^1171</f>
        <v>4.1336997628117169E+43</v>
      </c>
      <c r="J1173" s="4">
        <f>TrainDevY1*(1+TrainDevGrowth)^1171</f>
        <v>2.0668498814058585E+43</v>
      </c>
      <c r="K1173" s="4">
        <f>AdminY1*(1+AdminGrowth)^1171</f>
        <v>8.5940568198958859E+33</v>
      </c>
      <c r="L1173" s="4">
        <f t="shared" si="74"/>
        <v>6.2005496450769811E+43</v>
      </c>
      <c r="M1173" s="4">
        <f t="shared" si="75"/>
        <v>2.2176631679172191E+53</v>
      </c>
    </row>
    <row r="1174" spans="1:13" x14ac:dyDescent="0.2">
      <c r="A1174" s="3">
        <f>StartYear+1172</f>
        <v>3197</v>
      </c>
      <c r="B1174" s="4">
        <f>FacultyFTE*HoursPerWeek*WeeksPerYear*RatePerHour*(1+PracticeGrowth)^1172</f>
        <v>1.9644953163520609E+30</v>
      </c>
      <c r="C1174" s="4">
        <f>StudentsY1*(1+StudentGrowth)^1172*CreditsPerStudent*TuitionPerCredit</f>
        <v>1.2278095727200378E+31</v>
      </c>
      <c r="D1174" s="4">
        <f>SimRevY1*(1+SimGrowth)^1172</f>
        <v>1.6262863235940007E+53</v>
      </c>
      <c r="E1174" s="4">
        <f>FacDevRevY1*(1+FacDevGrowth)^1172</f>
        <v>8.1314316179700037E+52</v>
      </c>
      <c r="F1174" s="4">
        <f t="shared" si="72"/>
        <v>2.4394294853910013E+53</v>
      </c>
      <c r="G1174" s="4">
        <f t="shared" si="73"/>
        <v>2.4394294853910013E+53</v>
      </c>
      <c r="H1174" s="4">
        <f>SalaryFTECount*SalaryPerFTE*(1+SalaryGrowth)^1172</f>
        <v>1.9288255618023365E+25</v>
      </c>
      <c r="I1174" s="4">
        <f>SimOpsY1*(1+SimOpsGrowth)^1172</f>
        <v>4.4643957438366545E+43</v>
      </c>
      <c r="J1174" s="4">
        <f>TrainDevY1*(1+TrainDevGrowth)^1172</f>
        <v>2.2321978719183273E+43</v>
      </c>
      <c r="K1174" s="4">
        <f>AdminY1*(1+AdminGrowth)^1172</f>
        <v>9.1097002290896399E+33</v>
      </c>
      <c r="L1174" s="4">
        <f t="shared" si="74"/>
        <v>6.6965936166659522E+43</v>
      </c>
      <c r="M1174" s="4">
        <f t="shared" si="75"/>
        <v>2.4394294847213418E+53</v>
      </c>
    </row>
    <row r="1175" spans="1:13" x14ac:dyDescent="0.2">
      <c r="A1175" s="3">
        <f>StartYear+1173</f>
        <v>3198</v>
      </c>
      <c r="B1175" s="4">
        <f>FacultyFTE*HoursPerWeek*WeeksPerYear*RatePerHour*(1+PracticeGrowth)^1173</f>
        <v>2.0627200821696638E+30</v>
      </c>
      <c r="C1175" s="4">
        <f>StudentsY1*(1+StudentGrowth)^1173*CreditsPerStudent*TuitionPerCredit</f>
        <v>1.2892000513560399E+31</v>
      </c>
      <c r="D1175" s="4">
        <f>SimRevY1*(1+SimGrowth)^1173</f>
        <v>1.7889149559534007E+53</v>
      </c>
      <c r="E1175" s="4">
        <f>FacDevRevY1*(1+FacDevGrowth)^1173</f>
        <v>8.9445747797670033E+52</v>
      </c>
      <c r="F1175" s="4">
        <f t="shared" si="72"/>
        <v>2.6833724339301009E+53</v>
      </c>
      <c r="G1175" s="4">
        <f t="shared" si="73"/>
        <v>2.6833724339301009E+53</v>
      </c>
      <c r="H1175" s="4">
        <f>SalaryFTECount*SalaryPerFTE*(1+SalaryGrowth)^1173</f>
        <v>2.0059785842744309E+25</v>
      </c>
      <c r="I1175" s="4">
        <f>SimOpsY1*(1+SimOpsGrowth)^1173</f>
        <v>4.8215474033435866E+43</v>
      </c>
      <c r="J1175" s="4">
        <f>TrainDevY1*(1+TrainDevGrowth)^1173</f>
        <v>2.4107737016717933E+43</v>
      </c>
      <c r="K1175" s="4">
        <f>AdminY1*(1+AdminGrowth)^1173</f>
        <v>9.6562822428350184E+33</v>
      </c>
      <c r="L1175" s="4">
        <f t="shared" si="74"/>
        <v>7.2323211059810077E+43</v>
      </c>
      <c r="M1175" s="4">
        <f t="shared" si="75"/>
        <v>2.6833724332068686E+53</v>
      </c>
    </row>
    <row r="1176" spans="1:13" x14ac:dyDescent="0.2">
      <c r="A1176" s="3">
        <f>StartYear+1174</f>
        <v>3199</v>
      </c>
      <c r="B1176" s="4">
        <f>FacultyFTE*HoursPerWeek*WeeksPerYear*RatePerHour*(1+PracticeGrowth)^1174</f>
        <v>2.1658560862781468E+30</v>
      </c>
      <c r="C1176" s="4">
        <f>StudentsY1*(1+StudentGrowth)^1174*CreditsPerStudent*TuitionPerCredit</f>
        <v>1.3536600539238417E+31</v>
      </c>
      <c r="D1176" s="4">
        <f>SimRevY1*(1+SimGrowth)^1174</f>
        <v>1.9678064515487415E+53</v>
      </c>
      <c r="E1176" s="4">
        <f>FacDevRevY1*(1+FacDevGrowth)^1174</f>
        <v>9.8390322577437073E+52</v>
      </c>
      <c r="F1176" s="4">
        <f t="shared" si="72"/>
        <v>2.9517096773231122E+53</v>
      </c>
      <c r="G1176" s="4">
        <f t="shared" si="73"/>
        <v>2.9517096773231122E+53</v>
      </c>
      <c r="H1176" s="4">
        <f>SalaryFTECount*SalaryPerFTE*(1+SalaryGrowth)^1174</f>
        <v>2.0862177276454079E+25</v>
      </c>
      <c r="I1176" s="4">
        <f>SimOpsY1*(1+SimOpsGrowth)^1174</f>
        <v>5.2072711956110751E+43</v>
      </c>
      <c r="J1176" s="4">
        <f>TrainDevY1*(1+TrainDevGrowth)^1174</f>
        <v>2.6036355978055375E+43</v>
      </c>
      <c r="K1176" s="4">
        <f>AdminY1*(1+AdminGrowth)^1174</f>
        <v>1.023565917740512E+34</v>
      </c>
      <c r="L1176" s="4">
        <f t="shared" si="74"/>
        <v>7.8109067944401781E+43</v>
      </c>
      <c r="M1176" s="4">
        <f t="shared" si="75"/>
        <v>2.9517096765420217E+53</v>
      </c>
    </row>
    <row r="1177" spans="1:13" x14ac:dyDescent="0.2">
      <c r="A1177" s="3">
        <f>StartYear+1175</f>
        <v>3200</v>
      </c>
      <c r="B1177" s="4">
        <f>FacultyFTE*HoursPerWeek*WeeksPerYear*RatePerHour*(1+PracticeGrowth)^1175</f>
        <v>2.2741488905920548E+30</v>
      </c>
      <c r="C1177" s="4">
        <f>StudentsY1*(1+StudentGrowth)^1175*CreditsPerStudent*TuitionPerCredit</f>
        <v>1.4213430566200344E+31</v>
      </c>
      <c r="D1177" s="4">
        <f>SimRevY1*(1+SimGrowth)^1175</f>
        <v>2.1645870967036154E+53</v>
      </c>
      <c r="E1177" s="4">
        <f>FacDevRevY1*(1+FacDevGrowth)^1175</f>
        <v>1.0822935483518077E+53</v>
      </c>
      <c r="F1177" s="4">
        <f t="shared" si="72"/>
        <v>3.2468806450554234E+53</v>
      </c>
      <c r="G1177" s="4">
        <f t="shared" si="73"/>
        <v>3.2468806450554234E+53</v>
      </c>
      <c r="H1177" s="4">
        <f>SalaryFTECount*SalaryPerFTE*(1+SalaryGrowth)^1175</f>
        <v>2.1696664367512236E+25</v>
      </c>
      <c r="I1177" s="4">
        <f>SimOpsY1*(1+SimOpsGrowth)^1175</f>
        <v>5.6238528912599612E+43</v>
      </c>
      <c r="J1177" s="4">
        <f>TrainDevY1*(1+TrainDevGrowth)^1175</f>
        <v>2.8119264456299806E+43</v>
      </c>
      <c r="K1177" s="4">
        <f>AdminY1*(1+AdminGrowth)^1175</f>
        <v>1.084979872804943E+34</v>
      </c>
      <c r="L1177" s="4">
        <f t="shared" si="74"/>
        <v>8.435779337974922E+43</v>
      </c>
      <c r="M1177" s="4">
        <f t="shared" si="75"/>
        <v>3.2468806442118455E+53</v>
      </c>
    </row>
    <row r="1178" spans="1:13" x14ac:dyDescent="0.2">
      <c r="A1178" s="3">
        <f>StartYear+1176</f>
        <v>3201</v>
      </c>
      <c r="B1178" s="4">
        <f>FacultyFTE*HoursPerWeek*WeeksPerYear*RatePerHour*(1+PracticeGrowth)^1176</f>
        <v>2.3878563351216573E+30</v>
      </c>
      <c r="C1178" s="4">
        <f>StudentsY1*(1+StudentGrowth)^1176*CreditsPerStudent*TuitionPerCredit</f>
        <v>1.4924102094510357E+31</v>
      </c>
      <c r="D1178" s="4">
        <f>SimRevY1*(1+SimGrowth)^1176</f>
        <v>2.3810458063739769E+53</v>
      </c>
      <c r="E1178" s="4">
        <f>FacDevRevY1*(1+FacDevGrowth)^1176</f>
        <v>1.1905229031869884E+53</v>
      </c>
      <c r="F1178" s="4">
        <f t="shared" si="72"/>
        <v>3.5715687095609653E+53</v>
      </c>
      <c r="G1178" s="4">
        <f t="shared" si="73"/>
        <v>3.5715687095609653E+53</v>
      </c>
      <c r="H1178" s="4">
        <f>SalaryFTECount*SalaryPerFTE*(1+SalaryGrowth)^1176</f>
        <v>2.2564530942212729E+25</v>
      </c>
      <c r="I1178" s="4">
        <f>SimOpsY1*(1+SimOpsGrowth)^1176</f>
        <v>6.0737611225607575E+43</v>
      </c>
      <c r="J1178" s="4">
        <f>TrainDevY1*(1+TrainDevGrowth)^1176</f>
        <v>3.0368805612803787E+43</v>
      </c>
      <c r="K1178" s="4">
        <f>AdminY1*(1+AdminGrowth)^1176</f>
        <v>1.1500786651732394E+34</v>
      </c>
      <c r="L1178" s="4">
        <f t="shared" si="74"/>
        <v>9.1106416849912137E+43</v>
      </c>
      <c r="M1178" s="4">
        <f t="shared" si="75"/>
        <v>3.5715687086499009E+53</v>
      </c>
    </row>
    <row r="1179" spans="1:13" x14ac:dyDescent="0.2">
      <c r="A1179" s="3">
        <f>StartYear+1177</f>
        <v>3202</v>
      </c>
      <c r="B1179" s="4">
        <f>FacultyFTE*HoursPerWeek*WeeksPerYear*RatePerHour*(1+PracticeGrowth)^1177</f>
        <v>2.5072491518777398E+30</v>
      </c>
      <c r="C1179" s="4">
        <f>StudentsY1*(1+StudentGrowth)^1177*CreditsPerStudent*TuitionPerCredit</f>
        <v>1.5670307199235874E+31</v>
      </c>
      <c r="D1179" s="4">
        <f>SimRevY1*(1+SimGrowth)^1177</f>
        <v>2.6191503870113747E+53</v>
      </c>
      <c r="E1179" s="4">
        <f>FacDevRevY1*(1+FacDevGrowth)^1177</f>
        <v>1.3095751935056874E+53</v>
      </c>
      <c r="F1179" s="4">
        <f t="shared" si="72"/>
        <v>3.9287255805170616E+53</v>
      </c>
      <c r="G1179" s="4">
        <f t="shared" si="73"/>
        <v>3.9287255805170616E+53</v>
      </c>
      <c r="H1179" s="4">
        <f>SalaryFTECount*SalaryPerFTE*(1+SalaryGrowth)^1177</f>
        <v>2.3467112179901247E+25</v>
      </c>
      <c r="I1179" s="4">
        <f>SimOpsY1*(1+SimOpsGrowth)^1177</f>
        <v>6.5596620123656195E+43</v>
      </c>
      <c r="J1179" s="4">
        <f>TrainDevY1*(1+TrainDevGrowth)^1177</f>
        <v>3.2798310061828098E+43</v>
      </c>
      <c r="K1179" s="4">
        <f>AdminY1*(1+AdminGrowth)^1177</f>
        <v>1.2190833850836337E+34</v>
      </c>
      <c r="L1179" s="4">
        <f t="shared" si="74"/>
        <v>9.839493019767514E+43</v>
      </c>
      <c r="M1179" s="4">
        <f t="shared" si="75"/>
        <v>3.9287255795331122E+53</v>
      </c>
    </row>
    <row r="1180" spans="1:13" x14ac:dyDescent="0.2">
      <c r="A1180" s="3">
        <f>StartYear+1178</f>
        <v>3203</v>
      </c>
      <c r="B1180" s="4">
        <f>FacultyFTE*HoursPerWeek*WeeksPerYear*RatePerHour*(1+PracticeGrowth)^1178</f>
        <v>2.6326116094716271E+30</v>
      </c>
      <c r="C1180" s="4">
        <f>StudentsY1*(1+StudentGrowth)^1178*CreditsPerStudent*TuitionPerCredit</f>
        <v>1.6453822559197671E+31</v>
      </c>
      <c r="D1180" s="4">
        <f>SimRevY1*(1+SimGrowth)^1178</f>
        <v>2.8810654257125123E+53</v>
      </c>
      <c r="E1180" s="4">
        <f>FacDevRevY1*(1+FacDevGrowth)^1178</f>
        <v>1.4405327128562561E+53</v>
      </c>
      <c r="F1180" s="4">
        <f t="shared" si="72"/>
        <v>4.321598138568768E+53</v>
      </c>
      <c r="G1180" s="4">
        <f t="shared" si="73"/>
        <v>4.321598138568768E+53</v>
      </c>
      <c r="H1180" s="4">
        <f>SalaryFTECount*SalaryPerFTE*(1+SalaryGrowth)^1178</f>
        <v>2.4405796667097289E+25</v>
      </c>
      <c r="I1180" s="4">
        <f>SimOpsY1*(1+SimOpsGrowth)^1178</f>
        <v>7.0844349733548687E+43</v>
      </c>
      <c r="J1180" s="4">
        <f>TrainDevY1*(1+TrainDevGrowth)^1178</f>
        <v>3.5422174866774344E+43</v>
      </c>
      <c r="K1180" s="4">
        <f>AdminY1*(1+AdminGrowth)^1178</f>
        <v>1.2922283881886518E+34</v>
      </c>
      <c r="L1180" s="4">
        <f t="shared" si="74"/>
        <v>1.0626652461324533E+44</v>
      </c>
      <c r="M1180" s="4">
        <f t="shared" si="75"/>
        <v>4.3215981375061027E+53</v>
      </c>
    </row>
    <row r="1181" spans="1:13" x14ac:dyDescent="0.2">
      <c r="A1181" s="3">
        <f>StartYear+1179</f>
        <v>3204</v>
      </c>
      <c r="B1181" s="4">
        <f>FacultyFTE*HoursPerWeek*WeeksPerYear*RatePerHour*(1+PracticeGrowth)^1179</f>
        <v>2.7642421899452089E+30</v>
      </c>
      <c r="C1181" s="4">
        <f>StudentsY1*(1+StudentGrowth)^1179*CreditsPerStudent*TuitionPerCredit</f>
        <v>1.7276513687157554E+31</v>
      </c>
      <c r="D1181" s="4">
        <f>SimRevY1*(1+SimGrowth)^1179</f>
        <v>3.1691719682837646E+53</v>
      </c>
      <c r="E1181" s="4">
        <f>FacDevRevY1*(1+FacDevGrowth)^1179</f>
        <v>1.5845859841418823E+53</v>
      </c>
      <c r="F1181" s="4">
        <f t="shared" si="72"/>
        <v>4.7537579524256465E+53</v>
      </c>
      <c r="G1181" s="4">
        <f t="shared" si="73"/>
        <v>4.7537579524256465E+53</v>
      </c>
      <c r="H1181" s="4">
        <f>SalaryFTECount*SalaryPerFTE*(1+SalaryGrowth)^1179</f>
        <v>2.538202853378118E+25</v>
      </c>
      <c r="I1181" s="4">
        <f>SimOpsY1*(1+SimOpsGrowth)^1179</f>
        <v>7.6511897712232583E+43</v>
      </c>
      <c r="J1181" s="4">
        <f>TrainDevY1*(1+TrainDevGrowth)^1179</f>
        <v>3.8255948856116292E+43</v>
      </c>
      <c r="K1181" s="4">
        <f>AdminY1*(1+AdminGrowth)^1179</f>
        <v>1.3697620914799709E+34</v>
      </c>
      <c r="L1181" s="4">
        <f t="shared" si="74"/>
        <v>1.147678465820465E+44</v>
      </c>
      <c r="M1181" s="4">
        <f t="shared" si="75"/>
        <v>4.7537579512779676E+53</v>
      </c>
    </row>
    <row r="1182" spans="1:13" x14ac:dyDescent="0.2">
      <c r="A1182" s="3">
        <f>StartYear+1180</f>
        <v>3205</v>
      </c>
      <c r="B1182" s="4">
        <f>FacultyFTE*HoursPerWeek*WeeksPerYear*RatePerHour*(1+PracticeGrowth)^1180</f>
        <v>2.9024542994424694E+30</v>
      </c>
      <c r="C1182" s="4">
        <f>StudentsY1*(1+StudentGrowth)^1180*CreditsPerStudent*TuitionPerCredit</f>
        <v>1.8140339371515433E+31</v>
      </c>
      <c r="D1182" s="4">
        <f>SimRevY1*(1+SimGrowth)^1180</f>
        <v>3.4860891651121411E+53</v>
      </c>
      <c r="E1182" s="4">
        <f>FacDevRevY1*(1+FacDevGrowth)^1180</f>
        <v>1.7430445825560705E+53</v>
      </c>
      <c r="F1182" s="4">
        <f t="shared" si="72"/>
        <v>5.2291337476682118E+53</v>
      </c>
      <c r="G1182" s="4">
        <f t="shared" si="73"/>
        <v>5.2291337476682118E+53</v>
      </c>
      <c r="H1182" s="4">
        <f>SalaryFTECount*SalaryPerFTE*(1+SalaryGrowth)^1180</f>
        <v>2.6397309675132439E+25</v>
      </c>
      <c r="I1182" s="4">
        <f>SimOpsY1*(1+SimOpsGrowth)^1180</f>
        <v>8.2632849529211196E+43</v>
      </c>
      <c r="J1182" s="4">
        <f>TrainDevY1*(1+TrainDevGrowth)^1180</f>
        <v>4.1316424764605598E+43</v>
      </c>
      <c r="K1182" s="4">
        <f>AdminY1*(1+AdminGrowth)^1180</f>
        <v>1.4519478169687695E+34</v>
      </c>
      <c r="L1182" s="4">
        <f t="shared" si="74"/>
        <v>1.2394927430833628E+44</v>
      </c>
      <c r="M1182" s="4">
        <f t="shared" si="75"/>
        <v>5.2291337464287188E+53</v>
      </c>
    </row>
    <row r="1183" spans="1:13" x14ac:dyDescent="0.2">
      <c r="A1183" s="3">
        <f>StartYear+1181</f>
        <v>3206</v>
      </c>
      <c r="B1183" s="4">
        <f>FacultyFTE*HoursPerWeek*WeeksPerYear*RatePerHour*(1+PracticeGrowth)^1181</f>
        <v>3.047577014414593E+30</v>
      </c>
      <c r="C1183" s="4">
        <f>StudentsY1*(1+StudentGrowth)^1181*CreditsPerStudent*TuitionPerCredit</f>
        <v>1.9047356340091206E+31</v>
      </c>
      <c r="D1183" s="4">
        <f>SimRevY1*(1+SimGrowth)^1181</f>
        <v>3.834698081623355E+53</v>
      </c>
      <c r="E1183" s="4">
        <f>FacDevRevY1*(1+FacDevGrowth)^1181</f>
        <v>1.9173490408116775E+53</v>
      </c>
      <c r="F1183" s="4">
        <f t="shared" si="72"/>
        <v>5.752047122435033E+53</v>
      </c>
      <c r="G1183" s="4">
        <f t="shared" si="73"/>
        <v>5.752047122435033E+53</v>
      </c>
      <c r="H1183" s="4">
        <f>SalaryFTECount*SalaryPerFTE*(1+SalaryGrowth)^1181</f>
        <v>2.7453202062137736E+25</v>
      </c>
      <c r="I1183" s="4">
        <f>SimOpsY1*(1+SimOpsGrowth)^1181</f>
        <v>8.9243477491548099E+43</v>
      </c>
      <c r="J1183" s="4">
        <f>TrainDevY1*(1+TrainDevGrowth)^1181</f>
        <v>4.4621738745774049E+43</v>
      </c>
      <c r="K1183" s="4">
        <f>AdminY1*(1+AdminGrowth)^1181</f>
        <v>1.5390646859868957E+34</v>
      </c>
      <c r="L1183" s="4">
        <f t="shared" si="74"/>
        <v>1.3386521625271279E+44</v>
      </c>
      <c r="M1183" s="4">
        <f t="shared" si="75"/>
        <v>5.7520471210963809E+53</v>
      </c>
    </row>
    <row r="1184" spans="1:13" x14ac:dyDescent="0.2">
      <c r="A1184" s="3">
        <f>StartYear+1182</f>
        <v>3207</v>
      </c>
      <c r="B1184" s="4">
        <f>FacultyFTE*HoursPerWeek*WeeksPerYear*RatePerHour*(1+PracticeGrowth)^1182</f>
        <v>3.1999558651353216E+30</v>
      </c>
      <c r="C1184" s="4">
        <f>StudentsY1*(1+StudentGrowth)^1182*CreditsPerStudent*TuitionPerCredit</f>
        <v>1.9999724157095759E+31</v>
      </c>
      <c r="D1184" s="4">
        <f>SimRevY1*(1+SimGrowth)^1182</f>
        <v>4.2181678897856916E+53</v>
      </c>
      <c r="E1184" s="4">
        <f>FacDevRevY1*(1+FacDevGrowth)^1182</f>
        <v>2.1090839448928458E+53</v>
      </c>
      <c r="F1184" s="4">
        <f t="shared" si="72"/>
        <v>6.3272518346785375E+53</v>
      </c>
      <c r="G1184" s="4">
        <f t="shared" si="73"/>
        <v>6.3272518346785375E+53</v>
      </c>
      <c r="H1184" s="4">
        <f>SalaryFTECount*SalaryPerFTE*(1+SalaryGrowth)^1182</f>
        <v>2.8551330144623242E+25</v>
      </c>
      <c r="I1184" s="4">
        <f>SimOpsY1*(1+SimOpsGrowth)^1182</f>
        <v>9.6382955690871955E+43</v>
      </c>
      <c r="J1184" s="4">
        <f>TrainDevY1*(1+TrainDevGrowth)^1182</f>
        <v>4.8191477845435978E+43</v>
      </c>
      <c r="K1184" s="4">
        <f>AdminY1*(1+AdminGrowth)^1182</f>
        <v>1.6314085671461096E+34</v>
      </c>
      <c r="L1184" s="4">
        <f t="shared" si="74"/>
        <v>1.4457443355262201E+44</v>
      </c>
      <c r="M1184" s="4">
        <f t="shared" si="75"/>
        <v>6.3272518332327934E+53</v>
      </c>
    </row>
    <row r="1185" spans="1:13" x14ac:dyDescent="0.2">
      <c r="A1185" s="3">
        <f>StartYear+1183</f>
        <v>3208</v>
      </c>
      <c r="B1185" s="4">
        <f>FacultyFTE*HoursPerWeek*WeeksPerYear*RatePerHour*(1+PracticeGrowth)^1183</f>
        <v>3.359953658392089E+30</v>
      </c>
      <c r="C1185" s="4">
        <f>StudentsY1*(1+StudentGrowth)^1183*CreditsPerStudent*TuitionPerCredit</f>
        <v>2.0999710364950555E+31</v>
      </c>
      <c r="D1185" s="4">
        <f>SimRevY1*(1+SimGrowth)^1183</f>
        <v>4.6399846787642608E+53</v>
      </c>
      <c r="E1185" s="4">
        <f>FacDevRevY1*(1+FacDevGrowth)^1183</f>
        <v>2.3199923393821304E+53</v>
      </c>
      <c r="F1185" s="4">
        <f t="shared" si="72"/>
        <v>6.9599770181463908E+53</v>
      </c>
      <c r="G1185" s="4">
        <f t="shared" si="73"/>
        <v>6.9599770181463908E+53</v>
      </c>
      <c r="H1185" s="4">
        <f>SalaryFTECount*SalaryPerFTE*(1+SalaryGrowth)^1183</f>
        <v>2.969338335040817E+25</v>
      </c>
      <c r="I1185" s="4">
        <f>SimOpsY1*(1+SimOpsGrowth)^1183</f>
        <v>1.0409359214614171E+44</v>
      </c>
      <c r="J1185" s="4">
        <f>TrainDevY1*(1+TrainDevGrowth)^1183</f>
        <v>5.2046796073070856E+43</v>
      </c>
      <c r="K1185" s="4">
        <f>AdminY1*(1+AdminGrowth)^1183</f>
        <v>1.7292930811748766E+34</v>
      </c>
      <c r="L1185" s="4">
        <f t="shared" si="74"/>
        <v>1.561403882365055E+44</v>
      </c>
      <c r="M1185" s="4">
        <f t="shared" si="75"/>
        <v>6.9599770165849873E+53</v>
      </c>
    </row>
    <row r="1186" spans="1:13" x14ac:dyDescent="0.2">
      <c r="A1186" s="3">
        <f>StartYear+1184</f>
        <v>3209</v>
      </c>
      <c r="B1186" s="4">
        <f>FacultyFTE*HoursPerWeek*WeeksPerYear*RatePerHour*(1+PracticeGrowth)^1184</f>
        <v>3.5279513413116929E+30</v>
      </c>
      <c r="C1186" s="4">
        <f>StudentsY1*(1+StudentGrowth)^1184*CreditsPerStudent*TuitionPerCredit</f>
        <v>2.204969588319808E+31</v>
      </c>
      <c r="D1186" s="4">
        <f>SimRevY1*(1+SimGrowth)^1184</f>
        <v>5.1039831466406873E+53</v>
      </c>
      <c r="E1186" s="4">
        <f>FacDevRevY1*(1+FacDevGrowth)^1184</f>
        <v>2.5519915733203437E+53</v>
      </c>
      <c r="F1186" s="4">
        <f t="shared" si="72"/>
        <v>7.6559747199610305E+53</v>
      </c>
      <c r="G1186" s="4">
        <f t="shared" si="73"/>
        <v>7.6559747199610305E+53</v>
      </c>
      <c r="H1186" s="4">
        <f>SalaryFTECount*SalaryPerFTE*(1+SalaryGrowth)^1184</f>
        <v>3.0881118684424504E+25</v>
      </c>
      <c r="I1186" s="4">
        <f>SimOpsY1*(1+SimOpsGrowth)^1184</f>
        <v>1.1242107951783306E+44</v>
      </c>
      <c r="J1186" s="4">
        <f>TrainDevY1*(1+TrainDevGrowth)^1184</f>
        <v>5.6210539758916532E+43</v>
      </c>
      <c r="K1186" s="4">
        <f>AdminY1*(1+AdminGrowth)^1184</f>
        <v>1.8330506660453686E+34</v>
      </c>
      <c r="L1186" s="4">
        <f t="shared" si="74"/>
        <v>1.6863161929508011E+44</v>
      </c>
      <c r="M1186" s="4">
        <f t="shared" si="75"/>
        <v>7.6559747182747145E+53</v>
      </c>
    </row>
    <row r="1187" spans="1:13" x14ac:dyDescent="0.2">
      <c r="A1187" s="3">
        <f>StartYear+1185</f>
        <v>3210</v>
      </c>
      <c r="B1187" s="4">
        <f>FacultyFTE*HoursPerWeek*WeeksPerYear*RatePerHour*(1+PracticeGrowth)^1185</f>
        <v>3.7043489083772777E+30</v>
      </c>
      <c r="C1187" s="4">
        <f>StudentsY1*(1+StudentGrowth)^1185*CreditsPerStudent*TuitionPerCredit</f>
        <v>2.3152180677357987E+31</v>
      </c>
      <c r="D1187" s="4">
        <f>SimRevY1*(1+SimGrowth)^1185</f>
        <v>5.614381461304756E+53</v>
      </c>
      <c r="E1187" s="4">
        <f>FacDevRevY1*(1+FacDevGrowth)^1185</f>
        <v>2.807190730652378E+53</v>
      </c>
      <c r="F1187" s="4">
        <f t="shared" si="72"/>
        <v>8.4215721919571339E+53</v>
      </c>
      <c r="G1187" s="4">
        <f t="shared" si="73"/>
        <v>8.4215721919571339E+53</v>
      </c>
      <c r="H1187" s="4">
        <f>SalaryFTECount*SalaryPerFTE*(1+SalaryGrowth)^1185</f>
        <v>3.2116363431801476E+25</v>
      </c>
      <c r="I1187" s="4">
        <f>SimOpsY1*(1+SimOpsGrowth)^1185</f>
        <v>1.2141476587925969E+44</v>
      </c>
      <c r="J1187" s="4">
        <f>TrainDevY1*(1+TrainDevGrowth)^1185</f>
        <v>6.0707382939629845E+43</v>
      </c>
      <c r="K1187" s="4">
        <f>AdminY1*(1+AdminGrowth)^1185</f>
        <v>1.9430337060080911E+34</v>
      </c>
      <c r="L1187" s="4">
        <f t="shared" si="74"/>
        <v>1.8212214883831989E+44</v>
      </c>
      <c r="M1187" s="4">
        <f t="shared" si="75"/>
        <v>8.4215721901359121E+53</v>
      </c>
    </row>
    <row r="1188" spans="1:13" x14ac:dyDescent="0.2">
      <c r="A1188" s="3">
        <f>StartYear+1186</f>
        <v>3211</v>
      </c>
      <c r="B1188" s="4">
        <f>FacultyFTE*HoursPerWeek*WeeksPerYear*RatePerHour*(1+PracticeGrowth)^1186</f>
        <v>3.8895663537961413E+30</v>
      </c>
      <c r="C1188" s="4">
        <f>StudentsY1*(1+StudentGrowth)^1186*CreditsPerStudent*TuitionPerCredit</f>
        <v>2.4309789711225882E+31</v>
      </c>
      <c r="D1188" s="4">
        <f>SimRevY1*(1+SimGrowth)^1186</f>
        <v>6.1758196074352324E+53</v>
      </c>
      <c r="E1188" s="4">
        <f>FacDevRevY1*(1+FacDevGrowth)^1186</f>
        <v>3.0879098037176162E+53</v>
      </c>
      <c r="F1188" s="4">
        <f t="shared" si="72"/>
        <v>9.263729411152849E+53</v>
      </c>
      <c r="G1188" s="4">
        <f t="shared" si="73"/>
        <v>9.263729411152849E+53</v>
      </c>
      <c r="H1188" s="4">
        <f>SalaryFTECount*SalaryPerFTE*(1+SalaryGrowth)^1186</f>
        <v>3.3401017969073541E+25</v>
      </c>
      <c r="I1188" s="4">
        <f>SimOpsY1*(1+SimOpsGrowth)^1186</f>
        <v>1.3112794714960048E+44</v>
      </c>
      <c r="J1188" s="4">
        <f>TrainDevY1*(1+TrainDevGrowth)^1186</f>
        <v>6.5563973574800239E+43</v>
      </c>
      <c r="K1188" s="4">
        <f>AdminY1*(1+AdminGrowth)^1186</f>
        <v>2.0596157283685765E+34</v>
      </c>
      <c r="L1188" s="4">
        <f t="shared" si="74"/>
        <v>1.9669192074499688E+44</v>
      </c>
      <c r="M1188" s="4">
        <f t="shared" si="75"/>
        <v>9.2637294091859302E+53</v>
      </c>
    </row>
    <row r="1189" spans="1:13" x14ac:dyDescent="0.2">
      <c r="A1189" s="3">
        <f>StartYear+1187</f>
        <v>3212</v>
      </c>
      <c r="B1189" s="4">
        <f>FacultyFTE*HoursPerWeek*WeeksPerYear*RatePerHour*(1+PracticeGrowth)^1187</f>
        <v>4.0840446714859492E+30</v>
      </c>
      <c r="C1189" s="4">
        <f>StudentsY1*(1+StudentGrowth)^1187*CreditsPerStudent*TuitionPerCredit</f>
        <v>2.5525279196787176E+31</v>
      </c>
      <c r="D1189" s="4">
        <f>SimRevY1*(1+SimGrowth)^1187</f>
        <v>6.7934015681787562E+53</v>
      </c>
      <c r="E1189" s="4">
        <f>FacDevRevY1*(1+FacDevGrowth)^1187</f>
        <v>3.3967007840893781E+53</v>
      </c>
      <c r="F1189" s="4">
        <f t="shared" si="72"/>
        <v>1.0190102352268135E+54</v>
      </c>
      <c r="G1189" s="4">
        <f t="shared" si="73"/>
        <v>1.0190102352268135E+54</v>
      </c>
      <c r="H1189" s="4">
        <f>SalaryFTECount*SalaryPerFTE*(1+SalaryGrowth)^1187</f>
        <v>3.4737058687836486E+25</v>
      </c>
      <c r="I1189" s="4">
        <f>SimOpsY1*(1+SimOpsGrowth)^1187</f>
        <v>1.4161818292156854E+44</v>
      </c>
      <c r="J1189" s="4">
        <f>TrainDevY1*(1+TrainDevGrowth)^1187</f>
        <v>7.0809091460784269E+43</v>
      </c>
      <c r="K1189" s="4">
        <f>AdminY1*(1+AdminGrowth)^1187</f>
        <v>2.1831926720706918E+34</v>
      </c>
      <c r="L1189" s="4">
        <f t="shared" si="74"/>
        <v>2.1242727440418473E+44</v>
      </c>
      <c r="M1189" s="4">
        <f t="shared" si="75"/>
        <v>1.0190102350143863E+54</v>
      </c>
    </row>
    <row r="1190" spans="1:13" x14ac:dyDescent="0.2">
      <c r="A1190" s="3">
        <f>StartYear+1188</f>
        <v>3213</v>
      </c>
      <c r="B1190" s="4">
        <f>FacultyFTE*HoursPerWeek*WeeksPerYear*RatePerHour*(1+PracticeGrowth)^1188</f>
        <v>4.2882469050602463E+30</v>
      </c>
      <c r="C1190" s="4">
        <f>StudentsY1*(1+StudentGrowth)^1188*CreditsPerStudent*TuitionPerCredit</f>
        <v>2.6801543156626537E+31</v>
      </c>
      <c r="D1190" s="4">
        <f>SimRevY1*(1+SimGrowth)^1188</f>
        <v>7.4727417249966321E+53</v>
      </c>
      <c r="E1190" s="4">
        <f>FacDevRevY1*(1+FacDevGrowth)^1188</f>
        <v>3.7363708624983161E+53</v>
      </c>
      <c r="F1190" s="4">
        <f t="shared" si="72"/>
        <v>1.1209112587494949E+54</v>
      </c>
      <c r="G1190" s="4">
        <f t="shared" si="73"/>
        <v>1.1209112587494949E+54</v>
      </c>
      <c r="H1190" s="4">
        <f>SalaryFTECount*SalaryPerFTE*(1+SalaryGrowth)^1188</f>
        <v>3.6126541035349943E+25</v>
      </c>
      <c r="I1190" s="4">
        <f>SimOpsY1*(1+SimOpsGrowth)^1188</f>
        <v>1.5294763755529405E+44</v>
      </c>
      <c r="J1190" s="4">
        <f>TrainDevY1*(1+TrainDevGrowth)^1188</f>
        <v>7.6473818777647024E+43</v>
      </c>
      <c r="K1190" s="4">
        <f>AdminY1*(1+AdminGrowth)^1188</f>
        <v>2.3141842323949332E+34</v>
      </c>
      <c r="L1190" s="4">
        <f t="shared" si="74"/>
        <v>2.294214563560829E+44</v>
      </c>
      <c r="M1190" s="4">
        <f t="shared" si="75"/>
        <v>1.1209112585200734E+54</v>
      </c>
    </row>
    <row r="1191" spans="1:13" x14ac:dyDescent="0.2">
      <c r="A1191" s="3">
        <f>StartYear+1189</f>
        <v>3214</v>
      </c>
      <c r="B1191" s="4">
        <f>FacultyFTE*HoursPerWeek*WeeksPerYear*RatePerHour*(1+PracticeGrowth)^1189</f>
        <v>4.502659250313259E+30</v>
      </c>
      <c r="C1191" s="4">
        <f>StudentsY1*(1+StudentGrowth)^1189*CreditsPerStudent*TuitionPerCredit</f>
        <v>2.814162031445787E+31</v>
      </c>
      <c r="D1191" s="4">
        <f>SimRevY1*(1+SimGrowth)^1189</f>
        <v>8.2200158974962947E+53</v>
      </c>
      <c r="E1191" s="4">
        <f>FacDevRevY1*(1+FacDevGrowth)^1189</f>
        <v>4.1100079487481474E+53</v>
      </c>
      <c r="F1191" s="4">
        <f t="shared" si="72"/>
        <v>1.2330023846244443E+54</v>
      </c>
      <c r="G1191" s="4">
        <f t="shared" si="73"/>
        <v>1.2330023846244443E+54</v>
      </c>
      <c r="H1191" s="4">
        <f>SalaryFTECount*SalaryPerFTE*(1+SalaryGrowth)^1189</f>
        <v>3.7571602676763952E+25</v>
      </c>
      <c r="I1191" s="4">
        <f>SimOpsY1*(1+SimOpsGrowth)^1189</f>
        <v>1.6518344855971756E+44</v>
      </c>
      <c r="J1191" s="4">
        <f>TrainDevY1*(1+TrainDevGrowth)^1189</f>
        <v>8.2591724279858781E+43</v>
      </c>
      <c r="K1191" s="4">
        <f>AdminY1*(1+AdminGrowth)^1189</f>
        <v>2.453035286338629E+34</v>
      </c>
      <c r="L1191" s="4">
        <f t="shared" si="74"/>
        <v>2.4777517286410668E+44</v>
      </c>
      <c r="M1191" s="4">
        <f t="shared" si="75"/>
        <v>1.2330023843766691E+54</v>
      </c>
    </row>
    <row r="1192" spans="1:13" x14ac:dyDescent="0.2">
      <c r="A1192" s="3">
        <f>StartYear+1190</f>
        <v>3215</v>
      </c>
      <c r="B1192" s="4">
        <f>FacultyFTE*HoursPerWeek*WeeksPerYear*RatePerHour*(1+PracticeGrowth)^1190</f>
        <v>4.7277922128289208E+30</v>
      </c>
      <c r="C1192" s="4">
        <f>StudentsY1*(1+StudentGrowth)^1190*CreditsPerStudent*TuitionPerCredit</f>
        <v>2.9548701330180756E+31</v>
      </c>
      <c r="D1192" s="4">
        <f>SimRevY1*(1+SimGrowth)^1190</f>
        <v>9.0420174872459268E+53</v>
      </c>
      <c r="E1192" s="4">
        <f>FacDevRevY1*(1+FacDevGrowth)^1190</f>
        <v>4.5210087436229634E+53</v>
      </c>
      <c r="F1192" s="4">
        <f t="shared" si="72"/>
        <v>1.3563026230868891E+54</v>
      </c>
      <c r="G1192" s="4">
        <f t="shared" si="73"/>
        <v>1.3563026230868891E+54</v>
      </c>
      <c r="H1192" s="4">
        <f>SalaryFTECount*SalaryPerFTE*(1+SalaryGrowth)^1190</f>
        <v>3.9074466783834501E+25</v>
      </c>
      <c r="I1192" s="4">
        <f>SimOpsY1*(1+SimOpsGrowth)^1190</f>
        <v>1.7839812444449499E+44</v>
      </c>
      <c r="J1192" s="4">
        <f>TrainDevY1*(1+TrainDevGrowth)^1190</f>
        <v>8.9199062222247495E+43</v>
      </c>
      <c r="K1192" s="4">
        <f>AdminY1*(1+AdminGrowth)^1190</f>
        <v>2.6002174035189471E+34</v>
      </c>
      <c r="L1192" s="4">
        <f t="shared" si="74"/>
        <v>2.6759718669274467E+44</v>
      </c>
      <c r="M1192" s="4">
        <f t="shared" si="75"/>
        <v>1.3563026228192919E+54</v>
      </c>
    </row>
    <row r="1193" spans="1:13" x14ac:dyDescent="0.2">
      <c r="A1193" s="3">
        <f>StartYear+1191</f>
        <v>3216</v>
      </c>
      <c r="B1193" s="4">
        <f>FacultyFTE*HoursPerWeek*WeeksPerYear*RatePerHour*(1+PracticeGrowth)^1191</f>
        <v>4.964181823470368E+30</v>
      </c>
      <c r="C1193" s="4">
        <f>StudentsY1*(1+StudentGrowth)^1191*CreditsPerStudent*TuitionPerCredit</f>
        <v>3.10261363966898E+31</v>
      </c>
      <c r="D1193" s="4">
        <f>SimRevY1*(1+SimGrowth)^1191</f>
        <v>9.9462192359705193E+53</v>
      </c>
      <c r="E1193" s="4">
        <f>FacDevRevY1*(1+FacDevGrowth)^1191</f>
        <v>4.9731096179852596E+53</v>
      </c>
      <c r="F1193" s="4">
        <f t="shared" si="72"/>
        <v>1.491932885395578E+54</v>
      </c>
      <c r="G1193" s="4">
        <f t="shared" si="73"/>
        <v>1.491932885395578E+54</v>
      </c>
      <c r="H1193" s="4">
        <f>SalaryFTECount*SalaryPerFTE*(1+SalaryGrowth)^1191</f>
        <v>4.0637445455187884E+25</v>
      </c>
      <c r="I1193" s="4">
        <f>SimOpsY1*(1+SimOpsGrowth)^1191</f>
        <v>1.9266997440005461E+44</v>
      </c>
      <c r="J1193" s="4">
        <f>TrainDevY1*(1+TrainDevGrowth)^1191</f>
        <v>9.6334987200027305E+43</v>
      </c>
      <c r="K1193" s="4">
        <f>AdminY1*(1+AdminGrowth)^1191</f>
        <v>2.7562304477300843E+34</v>
      </c>
      <c r="L1193" s="4">
        <f t="shared" si="74"/>
        <v>2.890049616276442E+44</v>
      </c>
      <c r="M1193" s="4">
        <f t="shared" si="75"/>
        <v>1.4919328851065731E+54</v>
      </c>
    </row>
    <row r="1194" spans="1:13" x14ac:dyDescent="0.2">
      <c r="A1194" s="3">
        <f>StartYear+1192</f>
        <v>3217</v>
      </c>
      <c r="B1194" s="4">
        <f>FacultyFTE*HoursPerWeek*WeeksPerYear*RatePerHour*(1+PracticeGrowth)^1192</f>
        <v>5.2123909146438849E+30</v>
      </c>
      <c r="C1194" s="4">
        <f>StudentsY1*(1+StudentGrowth)^1192*CreditsPerStudent*TuitionPerCredit</f>
        <v>3.257744321652428E+31</v>
      </c>
      <c r="D1194" s="4">
        <f>SimRevY1*(1+SimGrowth)^1192</f>
        <v>1.094084115956757E+54</v>
      </c>
      <c r="E1194" s="4">
        <f>FacDevRevY1*(1+FacDevGrowth)^1192</f>
        <v>5.470420579783785E+53</v>
      </c>
      <c r="F1194" s="4">
        <f t="shared" si="72"/>
        <v>1.6411261739351353E+54</v>
      </c>
      <c r="G1194" s="4">
        <f t="shared" si="73"/>
        <v>1.6411261739351353E+54</v>
      </c>
      <c r="H1194" s="4">
        <f>SalaryFTECount*SalaryPerFTE*(1+SalaryGrowth)^1192</f>
        <v>4.2262943273395414E+25</v>
      </c>
      <c r="I1194" s="4">
        <f>SimOpsY1*(1+SimOpsGrowth)^1192</f>
        <v>2.0808357235205899E+44</v>
      </c>
      <c r="J1194" s="4">
        <f>TrainDevY1*(1+TrainDevGrowth)^1192</f>
        <v>1.0404178617602949E+44</v>
      </c>
      <c r="K1194" s="4">
        <f>AdminY1*(1+AdminGrowth)^1192</f>
        <v>2.9216042745938888E+34</v>
      </c>
      <c r="L1194" s="4">
        <f t="shared" si="74"/>
        <v>3.1212535855730456E+44</v>
      </c>
      <c r="M1194" s="4">
        <f t="shared" si="75"/>
        <v>1.64112617362301E+54</v>
      </c>
    </row>
    <row r="1195" spans="1:13" x14ac:dyDescent="0.2">
      <c r="A1195" s="3">
        <f>StartYear+1193</f>
        <v>3218</v>
      </c>
      <c r="B1195" s="4">
        <f>FacultyFTE*HoursPerWeek*WeeksPerYear*RatePerHour*(1+PracticeGrowth)^1193</f>
        <v>5.4730104603760805E+30</v>
      </c>
      <c r="C1195" s="4">
        <f>StudentsY1*(1+StudentGrowth)^1193*CreditsPerStudent*TuitionPerCredit</f>
        <v>3.4206315377350505E+31</v>
      </c>
      <c r="D1195" s="4">
        <f>SimRevY1*(1+SimGrowth)^1193</f>
        <v>1.2034925275524328E+54</v>
      </c>
      <c r="E1195" s="4">
        <f>FacDevRevY1*(1+FacDevGrowth)^1193</f>
        <v>6.0174626377621642E+53</v>
      </c>
      <c r="F1195" s="4">
        <f t="shared" si="72"/>
        <v>1.8052387913286493E+54</v>
      </c>
      <c r="G1195" s="4">
        <f t="shared" si="73"/>
        <v>1.8052387913286493E+54</v>
      </c>
      <c r="H1195" s="4">
        <f>SalaryFTECount*SalaryPerFTE*(1+SalaryGrowth)^1193</f>
        <v>4.3953461004331224E+25</v>
      </c>
      <c r="I1195" s="4">
        <f>SimOpsY1*(1+SimOpsGrowth)^1193</f>
        <v>2.2473025814022371E+44</v>
      </c>
      <c r="J1195" s="4">
        <f>TrainDevY1*(1+TrainDevGrowth)^1193</f>
        <v>1.1236512907011185E+44</v>
      </c>
      <c r="K1195" s="4">
        <f>AdminY1*(1+AdminGrowth)^1193</f>
        <v>3.0969005310695223E+34</v>
      </c>
      <c r="L1195" s="4">
        <f t="shared" si="74"/>
        <v>3.370953872413046E+44</v>
      </c>
      <c r="M1195" s="4">
        <f t="shared" si="75"/>
        <v>1.8052387909915541E+54</v>
      </c>
    </row>
    <row r="1196" spans="1:13" x14ac:dyDescent="0.2">
      <c r="A1196" s="3">
        <f>StartYear+1194</f>
        <v>3219</v>
      </c>
      <c r="B1196" s="4">
        <f>FacultyFTE*HoursPerWeek*WeeksPerYear*RatePerHour*(1+PracticeGrowth)^1194</f>
        <v>5.7466609833948832E+30</v>
      </c>
      <c r="C1196" s="4">
        <f>StudentsY1*(1+StudentGrowth)^1194*CreditsPerStudent*TuitionPerCredit</f>
        <v>3.5916631146218022E+31</v>
      </c>
      <c r="D1196" s="4">
        <f>SimRevY1*(1+SimGrowth)^1194</f>
        <v>1.3238417803076762E+54</v>
      </c>
      <c r="E1196" s="4">
        <f>FacDevRevY1*(1+FacDevGrowth)^1194</f>
        <v>6.619208901538381E+53</v>
      </c>
      <c r="F1196" s="4">
        <f t="shared" si="72"/>
        <v>1.9857626704615141E+54</v>
      </c>
      <c r="G1196" s="4">
        <f t="shared" si="73"/>
        <v>1.9857626704615141E+54</v>
      </c>
      <c r="H1196" s="4">
        <f>SalaryFTECount*SalaryPerFTE*(1+SalaryGrowth)^1194</f>
        <v>4.5711599444504474E+25</v>
      </c>
      <c r="I1196" s="4">
        <f>SimOpsY1*(1+SimOpsGrowth)^1194</f>
        <v>2.4270867879144156E+44</v>
      </c>
      <c r="J1196" s="4">
        <f>TrainDevY1*(1+TrainDevGrowth)^1194</f>
        <v>1.2135433939572078E+44</v>
      </c>
      <c r="K1196" s="4">
        <f>AdminY1*(1+AdminGrowth)^1194</f>
        <v>3.2827145629336943E+34</v>
      </c>
      <c r="L1196" s="4">
        <f t="shared" si="74"/>
        <v>3.6406301821998949E+44</v>
      </c>
      <c r="M1196" s="4">
        <f t="shared" si="75"/>
        <v>1.9857626700974511E+54</v>
      </c>
    </row>
    <row r="1197" spans="1:13" x14ac:dyDescent="0.2">
      <c r="A1197" s="3">
        <f>StartYear+1195</f>
        <v>3220</v>
      </c>
      <c r="B1197" s="4">
        <f>FacultyFTE*HoursPerWeek*WeeksPerYear*RatePerHour*(1+PracticeGrowth)^1195</f>
        <v>6.0339940325646288E+30</v>
      </c>
      <c r="C1197" s="4">
        <f>StudentsY1*(1+StudentGrowth)^1195*CreditsPerStudent*TuitionPerCredit</f>
        <v>3.7712462703528933E+31</v>
      </c>
      <c r="D1197" s="4">
        <f>SimRevY1*(1+SimGrowth)^1195</f>
        <v>1.4562259583384442E+54</v>
      </c>
      <c r="E1197" s="4">
        <f>FacDevRevY1*(1+FacDevGrowth)^1195</f>
        <v>7.2811297916922212E+53</v>
      </c>
      <c r="F1197" s="4">
        <f t="shared" si="72"/>
        <v>2.1843389375076664E+54</v>
      </c>
      <c r="G1197" s="4">
        <f t="shared" si="73"/>
        <v>2.1843389375076664E+54</v>
      </c>
      <c r="H1197" s="4">
        <f>SalaryFTECount*SalaryPerFTE*(1+SalaryGrowth)^1195</f>
        <v>4.7540063422284653E+25</v>
      </c>
      <c r="I1197" s="4">
        <f>SimOpsY1*(1+SimOpsGrowth)^1195</f>
        <v>2.6212537309475689E+44</v>
      </c>
      <c r="J1197" s="4">
        <f>TrainDevY1*(1+TrainDevGrowth)^1195</f>
        <v>1.3106268654737845E+44</v>
      </c>
      <c r="K1197" s="4">
        <f>AdminY1*(1+AdminGrowth)^1195</f>
        <v>3.4796774367097165E+34</v>
      </c>
      <c r="L1197" s="4">
        <f t="shared" si="74"/>
        <v>3.9318805967693211E+44</v>
      </c>
      <c r="M1197" s="4">
        <f t="shared" si="75"/>
        <v>2.1843389371144783E+54</v>
      </c>
    </row>
    <row r="1198" spans="1:13" x14ac:dyDescent="0.2">
      <c r="A1198" s="3">
        <f>StartYear+1196</f>
        <v>3221</v>
      </c>
      <c r="B1198" s="4">
        <f>FacultyFTE*HoursPerWeek*WeeksPerYear*RatePerHour*(1+PracticeGrowth)^1196</f>
        <v>6.3356937341928604E+30</v>
      </c>
      <c r="C1198" s="4">
        <f>StudentsY1*(1+StudentGrowth)^1196*CreditsPerStudent*TuitionPerCredit</f>
        <v>3.9598085838705375E+31</v>
      </c>
      <c r="D1198" s="4">
        <f>SimRevY1*(1+SimGrowth)^1196</f>
        <v>1.6018485541722884E+54</v>
      </c>
      <c r="E1198" s="4">
        <f>FacDevRevY1*(1+FacDevGrowth)^1196</f>
        <v>8.009242770861442E+53</v>
      </c>
      <c r="F1198" s="4">
        <f t="shared" si="72"/>
        <v>2.4027728312584324E+54</v>
      </c>
      <c r="G1198" s="4">
        <f t="shared" si="73"/>
        <v>2.4027728312584324E+54</v>
      </c>
      <c r="H1198" s="4">
        <f>SalaryFTECount*SalaryPerFTE*(1+SalaryGrowth)^1196</f>
        <v>4.9441665959176045E+25</v>
      </c>
      <c r="I1198" s="4">
        <f>SimOpsY1*(1+SimOpsGrowth)^1196</f>
        <v>2.8309540294233749E+44</v>
      </c>
      <c r="J1198" s="4">
        <f>TrainDevY1*(1+TrainDevGrowth)^1196</f>
        <v>1.4154770147116874E+44</v>
      </c>
      <c r="K1198" s="4">
        <f>AdminY1*(1+AdminGrowth)^1196</f>
        <v>3.6884580829122995E+34</v>
      </c>
      <c r="L1198" s="4">
        <f t="shared" si="74"/>
        <v>4.2464310445039078E+44</v>
      </c>
      <c r="M1198" s="4">
        <f t="shared" si="75"/>
        <v>2.4027728308337893E+54</v>
      </c>
    </row>
    <row r="1199" spans="1:13" x14ac:dyDescent="0.2">
      <c r="A1199" s="3">
        <f>StartYear+1197</f>
        <v>3222</v>
      </c>
      <c r="B1199" s="4">
        <f>FacultyFTE*HoursPerWeek*WeeksPerYear*RatePerHour*(1+PracticeGrowth)^1197</f>
        <v>6.6524784209025045E+30</v>
      </c>
      <c r="C1199" s="4">
        <f>StudentsY1*(1+StudentGrowth)^1197*CreditsPerStudent*TuitionPerCredit</f>
        <v>4.1577990130640659E+31</v>
      </c>
      <c r="D1199" s="4">
        <f>SimRevY1*(1+SimGrowth)^1197</f>
        <v>1.7620334095895174E+54</v>
      </c>
      <c r="E1199" s="4">
        <f>FacDevRevY1*(1+FacDevGrowth)^1197</f>
        <v>8.8101670479475871E+53</v>
      </c>
      <c r="F1199" s="4">
        <f t="shared" si="72"/>
        <v>2.6430501143842763E+54</v>
      </c>
      <c r="G1199" s="4">
        <f t="shared" si="73"/>
        <v>2.6430501143842763E+54</v>
      </c>
      <c r="H1199" s="4">
        <f>SalaryFTECount*SalaryPerFTE*(1+SalaryGrowth)^1197</f>
        <v>5.1419332597543099E+25</v>
      </c>
      <c r="I1199" s="4">
        <f>SimOpsY1*(1+SimOpsGrowth)^1197</f>
        <v>3.057430351777245E+44</v>
      </c>
      <c r="J1199" s="4">
        <f>TrainDevY1*(1+TrainDevGrowth)^1197</f>
        <v>1.5287151758886225E+44</v>
      </c>
      <c r="K1199" s="4">
        <f>AdminY1*(1+AdminGrowth)^1197</f>
        <v>3.9097655678870375E+34</v>
      </c>
      <c r="L1199" s="4">
        <f t="shared" si="74"/>
        <v>4.5861455280568444E+44</v>
      </c>
      <c r="M1199" s="4">
        <f t="shared" si="75"/>
        <v>2.6430501139256618E+54</v>
      </c>
    </row>
    <row r="1200" spans="1:13" x14ac:dyDescent="0.2">
      <c r="A1200" s="3">
        <f>StartYear+1198</f>
        <v>3223</v>
      </c>
      <c r="B1200" s="4">
        <f>FacultyFTE*HoursPerWeek*WeeksPerYear*RatePerHour*(1+PracticeGrowth)^1198</f>
        <v>6.985102341947628E+30</v>
      </c>
      <c r="C1200" s="4">
        <f>StudentsY1*(1+StudentGrowth)^1198*CreditsPerStudent*TuitionPerCredit</f>
        <v>4.3656889637172675E+31</v>
      </c>
      <c r="D1200" s="4">
        <f>SimRevY1*(1+SimGrowth)^1198</f>
        <v>1.9382367505484695E+54</v>
      </c>
      <c r="E1200" s="4">
        <f>FacDevRevY1*(1+FacDevGrowth)^1198</f>
        <v>9.6911837527423476E+53</v>
      </c>
      <c r="F1200" s="4">
        <f t="shared" si="72"/>
        <v>2.9073551258227041E+54</v>
      </c>
      <c r="G1200" s="4">
        <f t="shared" si="73"/>
        <v>2.9073551258227041E+54</v>
      </c>
      <c r="H1200" s="4">
        <f>SalaryFTECount*SalaryPerFTE*(1+SalaryGrowth)^1198</f>
        <v>5.3476105901444813E+25</v>
      </c>
      <c r="I1200" s="4">
        <f>SimOpsY1*(1+SimOpsGrowth)^1198</f>
        <v>3.3020247799194247E+44</v>
      </c>
      <c r="J1200" s="4">
        <f>TrainDevY1*(1+TrainDevGrowth)^1198</f>
        <v>1.6510123899597124E+44</v>
      </c>
      <c r="K1200" s="4">
        <f>AdminY1*(1+AdminGrowth)^1198</f>
        <v>4.1443515019602598E+34</v>
      </c>
      <c r="L1200" s="4">
        <f t="shared" si="74"/>
        <v>4.9530371702935723E+44</v>
      </c>
      <c r="M1200" s="4">
        <f t="shared" si="75"/>
        <v>2.9073551253274003E+54</v>
      </c>
    </row>
    <row r="1201" spans="1:13" x14ac:dyDescent="0.2">
      <c r="A1201" s="3">
        <f>StartYear+1199</f>
        <v>3224</v>
      </c>
      <c r="B1201" s="4">
        <f>FacultyFTE*HoursPerWeek*WeeksPerYear*RatePerHour*(1+PracticeGrowth)^1199</f>
        <v>7.3343574590450101E+30</v>
      </c>
      <c r="C1201" s="4">
        <f>StudentsY1*(1+StudentGrowth)^1199*CreditsPerStudent*TuitionPerCredit</f>
        <v>4.5839734119031313E+31</v>
      </c>
      <c r="D1201" s="4">
        <f>SimRevY1*(1+SimGrowth)^1199</f>
        <v>2.1320604256033167E+54</v>
      </c>
      <c r="E1201" s="4">
        <f>FacDevRevY1*(1+FacDevGrowth)^1199</f>
        <v>1.0660302128016584E+54</v>
      </c>
      <c r="F1201" s="4">
        <f t="shared" si="72"/>
        <v>3.1980906384049751E+54</v>
      </c>
      <c r="G1201" s="4">
        <f t="shared" si="73"/>
        <v>3.1980906384049751E+54</v>
      </c>
      <c r="H1201" s="4">
        <f>SalaryFTECount*SalaryPerFTE*(1+SalaryGrowth)^1199</f>
        <v>5.5615150137502607E+25</v>
      </c>
      <c r="I1201" s="4">
        <f>SimOpsY1*(1+SimOpsGrowth)^1199</f>
        <v>3.5661867623129795E+44</v>
      </c>
      <c r="J1201" s="4">
        <f>TrainDevY1*(1+TrainDevGrowth)^1199</f>
        <v>1.7830933811564897E+44</v>
      </c>
      <c r="K1201" s="4">
        <f>AdminY1*(1+AdminGrowth)^1199</f>
        <v>4.3930125920778767E+34</v>
      </c>
      <c r="L1201" s="4">
        <f t="shared" si="74"/>
        <v>5.3492801439087703E+44</v>
      </c>
      <c r="M1201" s="4">
        <f t="shared" si="75"/>
        <v>3.1980906378700471E+54</v>
      </c>
    </row>
    <row r="1202" spans="1:13" x14ac:dyDescent="0.2">
      <c r="A1202" s="3">
        <f>StartYear+1200</f>
        <v>3225</v>
      </c>
      <c r="B1202" s="4">
        <f>FacultyFTE*HoursPerWeek*WeeksPerYear*RatePerHour*(1+PracticeGrowth)^1200</f>
        <v>7.7010753319972615E+30</v>
      </c>
      <c r="C1202" s="4">
        <f>StudentsY1*(1+StudentGrowth)^1200*CreditsPerStudent*TuitionPerCredit</f>
        <v>4.8131720824982873E+31</v>
      </c>
      <c r="D1202" s="4">
        <f>SimRevY1*(1+SimGrowth)^1200</f>
        <v>2.3452664681636483E+54</v>
      </c>
      <c r="E1202" s="4">
        <f>FacDevRevY1*(1+FacDevGrowth)^1200</f>
        <v>1.1726332340818242E+54</v>
      </c>
      <c r="F1202" s="4">
        <f t="shared" si="72"/>
        <v>3.5178997022454723E+54</v>
      </c>
      <c r="G1202" s="4">
        <f t="shared" si="73"/>
        <v>3.5178997022454723E+54</v>
      </c>
      <c r="H1202" s="4">
        <f>SalaryFTECount*SalaryPerFTE*(1+SalaryGrowth)^1200</f>
        <v>5.7839756143002724E+25</v>
      </c>
      <c r="I1202" s="4">
        <f>SimOpsY1*(1+SimOpsGrowth)^1200</f>
        <v>3.851481703298017E+44</v>
      </c>
      <c r="J1202" s="4">
        <f>TrainDevY1*(1+TrainDevGrowth)^1200</f>
        <v>1.9257408516490085E+44</v>
      </c>
      <c r="K1202" s="4">
        <f>AdminY1*(1+AdminGrowth)^1200</f>
        <v>4.6565933476025478E+34</v>
      </c>
      <c r="L1202" s="4">
        <f t="shared" si="74"/>
        <v>5.7772225554126855E+44</v>
      </c>
      <c r="M1202" s="4">
        <f t="shared" si="75"/>
        <v>3.5178997016677498E+54</v>
      </c>
    </row>
    <row r="1203" spans="1:13" x14ac:dyDescent="0.2">
      <c r="A1203" s="3">
        <f>StartYear+1201</f>
        <v>3226</v>
      </c>
      <c r="B1203" s="4">
        <f>FacultyFTE*HoursPerWeek*WeeksPerYear*RatePerHour*(1+PracticeGrowth)^1201</f>
        <v>8.0861290985971254E+30</v>
      </c>
      <c r="C1203" s="4">
        <f>StudentsY1*(1+StudentGrowth)^1201*CreditsPerStudent*TuitionPerCredit</f>
        <v>5.0538306866232038E+31</v>
      </c>
      <c r="D1203" s="4">
        <f>SimRevY1*(1+SimGrowth)^1201</f>
        <v>2.5797931149800133E+54</v>
      </c>
      <c r="E1203" s="4">
        <f>FacDevRevY1*(1+FacDevGrowth)^1201</f>
        <v>1.2898965574900066E+54</v>
      </c>
      <c r="F1203" s="4">
        <f t="shared" si="72"/>
        <v>3.8696896724700195E+54</v>
      </c>
      <c r="G1203" s="4">
        <f t="shared" si="73"/>
        <v>3.8696896724700195E+54</v>
      </c>
      <c r="H1203" s="4">
        <f>SalaryFTECount*SalaryPerFTE*(1+SalaryGrowth)^1201</f>
        <v>6.0153346388722835E+25</v>
      </c>
      <c r="I1203" s="4">
        <f>SimOpsY1*(1+SimOpsGrowth)^1201</f>
        <v>4.159600239561859E+44</v>
      </c>
      <c r="J1203" s="4">
        <f>TrainDevY1*(1+TrainDevGrowth)^1201</f>
        <v>2.0798001197809295E+44</v>
      </c>
      <c r="K1203" s="4">
        <f>AdminY1*(1+AdminGrowth)^1201</f>
        <v>4.9359889484587017E+34</v>
      </c>
      <c r="L1203" s="4">
        <f t="shared" si="74"/>
        <v>6.2394003598363874E+44</v>
      </c>
      <c r="M1203" s="4">
        <f t="shared" si="75"/>
        <v>3.8696896718460798E+54</v>
      </c>
    </row>
    <row r="1204" spans="1:13" x14ac:dyDescent="0.2">
      <c r="A1204" s="3">
        <f>StartYear+1202</f>
        <v>3227</v>
      </c>
      <c r="B1204" s="4">
        <f>FacultyFTE*HoursPerWeek*WeeksPerYear*RatePerHour*(1+PracticeGrowth)^1202</f>
        <v>8.490435553526981E+30</v>
      </c>
      <c r="C1204" s="4">
        <f>StudentsY1*(1+StudentGrowth)^1202*CreditsPerStudent*TuitionPerCredit</f>
        <v>5.3065222209543638E+31</v>
      </c>
      <c r="D1204" s="4">
        <f>SimRevY1*(1+SimGrowth)^1202</f>
        <v>2.8377724264780151E+54</v>
      </c>
      <c r="E1204" s="4">
        <f>FacDevRevY1*(1+FacDevGrowth)^1202</f>
        <v>1.4188862132390076E+54</v>
      </c>
      <c r="F1204" s="4">
        <f t="shared" si="72"/>
        <v>4.2566586397170229E+54</v>
      </c>
      <c r="G1204" s="4">
        <f t="shared" si="73"/>
        <v>4.2566586397170229E+54</v>
      </c>
      <c r="H1204" s="4">
        <f>SalaryFTECount*SalaryPerFTE*(1+SalaryGrowth)^1202</f>
        <v>6.2559480244271747E+25</v>
      </c>
      <c r="I1204" s="4">
        <f>SimOpsY1*(1+SimOpsGrowth)^1202</f>
        <v>4.4923682587268084E+44</v>
      </c>
      <c r="J1204" s="4">
        <f>TrainDevY1*(1+TrainDevGrowth)^1202</f>
        <v>2.2461841293634042E+44</v>
      </c>
      <c r="K1204" s="4">
        <f>AdminY1*(1+AdminGrowth)^1202</f>
        <v>5.232148285366223E+34</v>
      </c>
      <c r="L1204" s="4">
        <f t="shared" si="74"/>
        <v>6.7385523886134278E+44</v>
      </c>
      <c r="M1204" s="4">
        <f t="shared" si="75"/>
        <v>4.2566586390431678E+54</v>
      </c>
    </row>
    <row r="1205" spans="1:13" x14ac:dyDescent="0.2">
      <c r="A1205" s="3">
        <f>StartYear+1203</f>
        <v>3228</v>
      </c>
      <c r="B1205" s="4">
        <f>FacultyFTE*HoursPerWeek*WeeksPerYear*RatePerHour*(1+PracticeGrowth)^1203</f>
        <v>8.9149573312033305E+30</v>
      </c>
      <c r="C1205" s="4">
        <f>StudentsY1*(1+StudentGrowth)^1203*CreditsPerStudent*TuitionPerCredit</f>
        <v>5.5718483320020821E+31</v>
      </c>
      <c r="D1205" s="4">
        <f>SimRevY1*(1+SimGrowth)^1203</f>
        <v>3.1215496691258168E+54</v>
      </c>
      <c r="E1205" s="4">
        <f>FacDevRevY1*(1+FacDevGrowth)^1203</f>
        <v>1.5607748345629084E+54</v>
      </c>
      <c r="F1205" s="4">
        <f t="shared" si="72"/>
        <v>4.6823245036887249E+54</v>
      </c>
      <c r="G1205" s="4">
        <f t="shared" si="73"/>
        <v>4.6823245036887249E+54</v>
      </c>
      <c r="H1205" s="4">
        <f>SalaryFTECount*SalaryPerFTE*(1+SalaryGrowth)^1203</f>
        <v>6.506185945404262E+25</v>
      </c>
      <c r="I1205" s="4">
        <f>SimOpsY1*(1+SimOpsGrowth)^1203</f>
        <v>4.8517577194249535E+44</v>
      </c>
      <c r="J1205" s="4">
        <f>TrainDevY1*(1+TrainDevGrowth)^1203</f>
        <v>2.4258788597124767E+44</v>
      </c>
      <c r="K1205" s="4">
        <f>AdminY1*(1+AdminGrowth)^1203</f>
        <v>5.5460771824881983E+34</v>
      </c>
      <c r="L1205" s="4">
        <f t="shared" si="74"/>
        <v>7.2776365796920389E+44</v>
      </c>
      <c r="M1205" s="4">
        <f t="shared" si="75"/>
        <v>4.6823245029609609E+54</v>
      </c>
    </row>
    <row r="1206" spans="1:13" x14ac:dyDescent="0.2">
      <c r="A1206" s="3">
        <f>StartYear+1204</f>
        <v>3229</v>
      </c>
      <c r="B1206" s="4">
        <f>FacultyFTE*HoursPerWeek*WeeksPerYear*RatePerHour*(1+PracticeGrowth)^1204</f>
        <v>9.360705197763497E+30</v>
      </c>
      <c r="C1206" s="4">
        <f>StudentsY1*(1+StudentGrowth)^1204*CreditsPerStudent*TuitionPerCredit</f>
        <v>5.850440748602186E+31</v>
      </c>
      <c r="D1206" s="4">
        <f>SimRevY1*(1+SimGrowth)^1204</f>
        <v>3.433704636038399E+54</v>
      </c>
      <c r="E1206" s="4">
        <f>FacDevRevY1*(1+FacDevGrowth)^1204</f>
        <v>1.7168523180191995E+54</v>
      </c>
      <c r="F1206" s="4">
        <f t="shared" si="72"/>
        <v>5.1505569540575985E+54</v>
      </c>
      <c r="G1206" s="4">
        <f t="shared" si="73"/>
        <v>5.1505569540575985E+54</v>
      </c>
      <c r="H1206" s="4">
        <f>SalaryFTECount*SalaryPerFTE*(1+SalaryGrowth)^1204</f>
        <v>6.7664333832204325E+25</v>
      </c>
      <c r="I1206" s="4">
        <f>SimOpsY1*(1+SimOpsGrowth)^1204</f>
        <v>5.2398983369789491E+44</v>
      </c>
      <c r="J1206" s="4">
        <f>TrainDevY1*(1+TrainDevGrowth)^1204</f>
        <v>2.6199491684894745E+44</v>
      </c>
      <c r="K1206" s="4">
        <f>AdminY1*(1+AdminGrowth)^1204</f>
        <v>5.8788418134374889E+34</v>
      </c>
      <c r="L1206" s="4">
        <f t="shared" si="74"/>
        <v>7.8598475060563081E+44</v>
      </c>
      <c r="M1206" s="4">
        <f t="shared" si="75"/>
        <v>5.1505569532716136E+54</v>
      </c>
    </row>
    <row r="1207" spans="1:13" x14ac:dyDescent="0.2">
      <c r="A1207" s="3">
        <f>StartYear+1205</f>
        <v>3230</v>
      </c>
      <c r="B1207" s="4">
        <f>FacultyFTE*HoursPerWeek*WeeksPerYear*RatePerHour*(1+PracticeGrowth)^1205</f>
        <v>9.8287404576516712E+30</v>
      </c>
      <c r="C1207" s="4">
        <f>StudentsY1*(1+StudentGrowth)^1205*CreditsPerStudent*TuitionPerCredit</f>
        <v>6.1429627860322942E+31</v>
      </c>
      <c r="D1207" s="4">
        <f>SimRevY1*(1+SimGrowth)^1205</f>
        <v>3.7770750996422385E+54</v>
      </c>
      <c r="E1207" s="4">
        <f>FacDevRevY1*(1+FacDevGrowth)^1205</f>
        <v>1.8885375498211192E+54</v>
      </c>
      <c r="F1207" s="4">
        <f t="shared" si="72"/>
        <v>5.665612649463358E+54</v>
      </c>
      <c r="G1207" s="4">
        <f t="shared" si="73"/>
        <v>5.665612649463358E+54</v>
      </c>
      <c r="H1207" s="4">
        <f>SalaryFTECount*SalaryPerFTE*(1+SalaryGrowth)^1205</f>
        <v>7.0370907185492509E+25</v>
      </c>
      <c r="I1207" s="4">
        <f>SimOpsY1*(1+SimOpsGrowth)^1205</f>
        <v>5.6590902039372643E+44</v>
      </c>
      <c r="J1207" s="4">
        <f>TrainDevY1*(1+TrainDevGrowth)^1205</f>
        <v>2.8295451019686322E+44</v>
      </c>
      <c r="K1207" s="4">
        <f>AdminY1*(1+AdminGrowth)^1205</f>
        <v>6.2315723222437402E+34</v>
      </c>
      <c r="L1207" s="4">
        <f t="shared" si="74"/>
        <v>8.4886353065290549E+44</v>
      </c>
      <c r="M1207" s="4">
        <f t="shared" si="75"/>
        <v>5.6656126486144944E+54</v>
      </c>
    </row>
    <row r="1208" spans="1:13" x14ac:dyDescent="0.2">
      <c r="A1208" s="3">
        <f>StartYear+1206</f>
        <v>3231</v>
      </c>
      <c r="B1208" s="4">
        <f>FacultyFTE*HoursPerWeek*WeeksPerYear*RatePerHour*(1+PracticeGrowth)^1206</f>
        <v>1.0320177480534254E+31</v>
      </c>
      <c r="C1208" s="4">
        <f>StudentsY1*(1+StudentGrowth)^1206*CreditsPerStudent*TuitionPerCredit</f>
        <v>6.4501109253339084E+31</v>
      </c>
      <c r="D1208" s="4">
        <f>SimRevY1*(1+SimGrowth)^1206</f>
        <v>4.1547826096064626E+54</v>
      </c>
      <c r="E1208" s="4">
        <f>FacDevRevY1*(1+FacDevGrowth)^1206</f>
        <v>2.0773913048032313E+54</v>
      </c>
      <c r="F1208" s="4">
        <f t="shared" si="72"/>
        <v>6.232173914409694E+54</v>
      </c>
      <c r="G1208" s="4">
        <f t="shared" si="73"/>
        <v>6.232173914409694E+54</v>
      </c>
      <c r="H1208" s="4">
        <f>SalaryFTECount*SalaryPerFTE*(1+SalaryGrowth)^1206</f>
        <v>7.3185743472912219E+25</v>
      </c>
      <c r="I1208" s="4">
        <f>SimOpsY1*(1+SimOpsGrowth)^1206</f>
        <v>6.111817420252248E+44</v>
      </c>
      <c r="J1208" s="4">
        <f>TrainDevY1*(1+TrainDevGrowth)^1206</f>
        <v>3.055908710126124E+44</v>
      </c>
      <c r="K1208" s="4">
        <f>AdminY1*(1+AdminGrowth)^1206</f>
        <v>6.6054666615783644E+34</v>
      </c>
      <c r="L1208" s="4">
        <f t="shared" si="74"/>
        <v>9.1677261310389194E+44</v>
      </c>
      <c r="M1208" s="4">
        <f t="shared" si="75"/>
        <v>6.2321739134929215E+54</v>
      </c>
    </row>
    <row r="1209" spans="1:13" x14ac:dyDescent="0.2">
      <c r="A1209" s="3">
        <f>StartYear+1207</f>
        <v>3232</v>
      </c>
      <c r="B1209" s="4">
        <f>FacultyFTE*HoursPerWeek*WeeksPerYear*RatePerHour*(1+PracticeGrowth)^1207</f>
        <v>1.0836186354560969E+31</v>
      </c>
      <c r="C1209" s="4">
        <f>StudentsY1*(1+StudentGrowth)^1207*CreditsPerStudent*TuitionPerCredit</f>
        <v>6.7726164716006056E+31</v>
      </c>
      <c r="D1209" s="4">
        <f>SimRevY1*(1+SimGrowth)^1207</f>
        <v>4.5702608705671097E+54</v>
      </c>
      <c r="E1209" s="4">
        <f>FacDevRevY1*(1+FacDevGrowth)^1207</f>
        <v>2.2851304352835549E+54</v>
      </c>
      <c r="F1209" s="4">
        <f t="shared" si="72"/>
        <v>6.8553913058506639E+54</v>
      </c>
      <c r="G1209" s="4">
        <f t="shared" si="73"/>
        <v>6.8553913058506639E+54</v>
      </c>
      <c r="H1209" s="4">
        <f>SalaryFTECount*SalaryPerFTE*(1+SalaryGrowth)^1207</f>
        <v>7.6113173211828701E+25</v>
      </c>
      <c r="I1209" s="4">
        <f>SimOpsY1*(1+SimOpsGrowth)^1207</f>
        <v>6.6007628138724267E+44</v>
      </c>
      <c r="J1209" s="4">
        <f>TrainDevY1*(1+TrainDevGrowth)^1207</f>
        <v>3.3003814069362134E+44</v>
      </c>
      <c r="K1209" s="4">
        <f>AdminY1*(1+AdminGrowth)^1207</f>
        <v>7.001794661273068E+34</v>
      </c>
      <c r="L1209" s="4">
        <f t="shared" si="74"/>
        <v>9.9011442215088194E+44</v>
      </c>
      <c r="M1209" s="4">
        <f t="shared" si="75"/>
        <v>6.8553913048605497E+54</v>
      </c>
    </row>
    <row r="1210" spans="1:13" x14ac:dyDescent="0.2">
      <c r="A1210" s="3">
        <f>StartYear+1208</f>
        <v>3233</v>
      </c>
      <c r="B1210" s="4">
        <f>FacultyFTE*HoursPerWeek*WeeksPerYear*RatePerHour*(1+PracticeGrowth)^1208</f>
        <v>1.1377995672289016E+31</v>
      </c>
      <c r="C1210" s="4">
        <f>StudentsY1*(1+StudentGrowth)^1208*CreditsPerStudent*TuitionPerCredit</f>
        <v>7.111247295180635E+31</v>
      </c>
      <c r="D1210" s="4">
        <f>SimRevY1*(1+SimGrowth)^1208</f>
        <v>5.0272869576238204E+54</v>
      </c>
      <c r="E1210" s="4">
        <f>FacDevRevY1*(1+FacDevGrowth)^1208</f>
        <v>2.5136434788119102E+54</v>
      </c>
      <c r="F1210" s="4">
        <f t="shared" si="72"/>
        <v>7.5409304364357303E+54</v>
      </c>
      <c r="G1210" s="4">
        <f t="shared" si="73"/>
        <v>7.5409304364357303E+54</v>
      </c>
      <c r="H1210" s="4">
        <f>SalaryFTECount*SalaryPerFTE*(1+SalaryGrowth)^1208</f>
        <v>7.9157700140301842E+25</v>
      </c>
      <c r="I1210" s="4">
        <f>SimOpsY1*(1+SimOpsGrowth)^1208</f>
        <v>7.1288238389822215E+44</v>
      </c>
      <c r="J1210" s="4">
        <f>TrainDevY1*(1+TrainDevGrowth)^1208</f>
        <v>3.5644119194911107E+44</v>
      </c>
      <c r="K1210" s="4">
        <f>AdminY1*(1+AdminGrowth)^1208</f>
        <v>7.4219023409494503E+34</v>
      </c>
      <c r="L1210" s="4">
        <f t="shared" si="74"/>
        <v>1.0693235759215522E+45</v>
      </c>
      <c r="M1210" s="4">
        <f t="shared" si="75"/>
        <v>7.5409304353664066E+54</v>
      </c>
    </row>
    <row r="1211" spans="1:13" x14ac:dyDescent="0.2">
      <c r="A1211" s="3">
        <f>StartYear+1209</f>
        <v>3234</v>
      </c>
      <c r="B1211" s="4">
        <f>FacultyFTE*HoursPerWeek*WeeksPerYear*RatePerHour*(1+PracticeGrowth)^1209</f>
        <v>1.1946895455903466E+31</v>
      </c>
      <c r="C1211" s="4">
        <f>StudentsY1*(1+StudentGrowth)^1209*CreditsPerStudent*TuitionPerCredit</f>
        <v>7.4668096599396673E+31</v>
      </c>
      <c r="D1211" s="4">
        <f>SimRevY1*(1+SimGrowth)^1209</f>
        <v>5.5300156533862034E+54</v>
      </c>
      <c r="E1211" s="4">
        <f>FacDevRevY1*(1+FacDevGrowth)^1209</f>
        <v>2.7650078266931017E+54</v>
      </c>
      <c r="F1211" s="4">
        <f t="shared" si="72"/>
        <v>8.2950234800793047E+54</v>
      </c>
      <c r="G1211" s="4">
        <f t="shared" si="73"/>
        <v>8.2950234800793047E+54</v>
      </c>
      <c r="H1211" s="4">
        <f>SalaryFTECount*SalaryPerFTE*(1+SalaryGrowth)^1209</f>
        <v>8.2324008145913952E+25</v>
      </c>
      <c r="I1211" s="4">
        <f>SimOpsY1*(1+SimOpsGrowth)^1209</f>
        <v>7.6991297461008005E+44</v>
      </c>
      <c r="J1211" s="4">
        <f>TrainDevY1*(1+TrainDevGrowth)^1209</f>
        <v>3.8495648730504002E+44</v>
      </c>
      <c r="K1211" s="4">
        <f>AdminY1*(1+AdminGrowth)^1209</f>
        <v>7.8672164814064175E+34</v>
      </c>
      <c r="L1211" s="4">
        <f t="shared" si="74"/>
        <v>1.1548694619937923E+45</v>
      </c>
      <c r="M1211" s="4">
        <f t="shared" si="75"/>
        <v>8.2950234789244353E+54</v>
      </c>
    </row>
    <row r="1212" spans="1:13" x14ac:dyDescent="0.2">
      <c r="A1212" s="3">
        <f>StartYear+1210</f>
        <v>3235</v>
      </c>
      <c r="B1212" s="4">
        <f>FacultyFTE*HoursPerWeek*WeeksPerYear*RatePerHour*(1+PracticeGrowth)^1210</f>
        <v>1.254424022869864E+31</v>
      </c>
      <c r="C1212" s="4">
        <f>StudentsY1*(1+StudentGrowth)^1210*CreditsPerStudent*TuitionPerCredit</f>
        <v>7.8401501429366501E+31</v>
      </c>
      <c r="D1212" s="4">
        <f>SimRevY1*(1+SimGrowth)^1210</f>
        <v>6.0830172187248238E+54</v>
      </c>
      <c r="E1212" s="4">
        <f>FacDevRevY1*(1+FacDevGrowth)^1210</f>
        <v>3.0415086093624119E+54</v>
      </c>
      <c r="F1212" s="4">
        <f t="shared" si="72"/>
        <v>9.1245258280872353E+54</v>
      </c>
      <c r="G1212" s="4">
        <f t="shared" si="73"/>
        <v>9.1245258280872353E+54</v>
      </c>
      <c r="H1212" s="4">
        <f>SalaryFTECount*SalaryPerFTE*(1+SalaryGrowth)^1210</f>
        <v>8.5616968471750484E+25</v>
      </c>
      <c r="I1212" s="4">
        <f>SimOpsY1*(1+SimOpsGrowth)^1210</f>
        <v>8.3150601257888643E+44</v>
      </c>
      <c r="J1212" s="4">
        <f>TrainDevY1*(1+TrainDevGrowth)^1210</f>
        <v>4.1575300628944321E+44</v>
      </c>
      <c r="K1212" s="4">
        <f>AdminY1*(1+AdminGrowth)^1210</f>
        <v>8.3392494702908024E+34</v>
      </c>
      <c r="L1212" s="4">
        <f t="shared" si="74"/>
        <v>1.2472590189517221E+45</v>
      </c>
      <c r="M1212" s="4">
        <f t="shared" si="75"/>
        <v>9.1245258268399766E+54</v>
      </c>
    </row>
    <row r="1213" spans="1:13" x14ac:dyDescent="0.2">
      <c r="A1213" s="3">
        <f>StartYear+1211</f>
        <v>3236</v>
      </c>
      <c r="B1213" s="4">
        <f>FacultyFTE*HoursPerWeek*WeeksPerYear*RatePerHour*(1+PracticeGrowth)^1211</f>
        <v>1.3171452240133576E+31</v>
      </c>
      <c r="C1213" s="4">
        <f>StudentsY1*(1+StudentGrowth)^1211*CreditsPerStudent*TuitionPerCredit</f>
        <v>8.2321576500834834E+31</v>
      </c>
      <c r="D1213" s="4">
        <f>SimRevY1*(1+SimGrowth)^1211</f>
        <v>6.6913189405973077E+54</v>
      </c>
      <c r="E1213" s="4">
        <f>FacDevRevY1*(1+FacDevGrowth)^1211</f>
        <v>3.3456594702986538E+54</v>
      </c>
      <c r="F1213" s="4">
        <f t="shared" si="72"/>
        <v>1.0036978410895961E+55</v>
      </c>
      <c r="G1213" s="4">
        <f t="shared" si="73"/>
        <v>1.0036978410895961E+55</v>
      </c>
      <c r="H1213" s="4">
        <f>SalaryFTECount*SalaryPerFTE*(1+SalaryGrowth)^1211</f>
        <v>8.9041647210620516E+25</v>
      </c>
      <c r="I1213" s="4">
        <f>SimOpsY1*(1+SimOpsGrowth)^1211</f>
        <v>8.9802649358519728E+44</v>
      </c>
      <c r="J1213" s="4">
        <f>TrainDevY1*(1+TrainDevGrowth)^1211</f>
        <v>4.4901324679259864E+44</v>
      </c>
      <c r="K1213" s="4">
        <f>AdminY1*(1+AdminGrowth)^1211</f>
        <v>8.8396044385082535E+34</v>
      </c>
      <c r="L1213" s="4">
        <f t="shared" si="74"/>
        <v>1.3470397404661918E+45</v>
      </c>
      <c r="M1213" s="4">
        <f t="shared" si="75"/>
        <v>1.003697840954892E+55</v>
      </c>
    </row>
    <row r="1214" spans="1:13" x14ac:dyDescent="0.2">
      <c r="A1214" s="3">
        <f>StartYear+1212</f>
        <v>3237</v>
      </c>
      <c r="B1214" s="4">
        <f>FacultyFTE*HoursPerWeek*WeeksPerYear*RatePerHour*(1+PracticeGrowth)^1212</f>
        <v>1.3830024852140253E+31</v>
      </c>
      <c r="C1214" s="4">
        <f>StudentsY1*(1+StudentGrowth)^1212*CreditsPerStudent*TuitionPerCredit</f>
        <v>8.6437655325876573E+31</v>
      </c>
      <c r="D1214" s="4">
        <f>SimRevY1*(1+SimGrowth)^1212</f>
        <v>7.3604508346570367E+54</v>
      </c>
      <c r="E1214" s="4">
        <f>FacDevRevY1*(1+FacDevGrowth)^1212</f>
        <v>3.6802254173285183E+54</v>
      </c>
      <c r="F1214" s="4">
        <f t="shared" si="72"/>
        <v>1.1040676251985555E+55</v>
      </c>
      <c r="G1214" s="4">
        <f t="shared" si="73"/>
        <v>1.1040676251985555E+55</v>
      </c>
      <c r="H1214" s="4">
        <f>SalaryFTECount*SalaryPerFTE*(1+SalaryGrowth)^1212</f>
        <v>9.2603313099045344E+25</v>
      </c>
      <c r="I1214" s="4">
        <f>SimOpsY1*(1+SimOpsGrowth)^1212</f>
        <v>9.698686130720131E+44</v>
      </c>
      <c r="J1214" s="4">
        <f>TrainDevY1*(1+TrainDevGrowth)^1212</f>
        <v>4.8493430653600655E+44</v>
      </c>
      <c r="K1214" s="4">
        <f>AdminY1*(1+AdminGrowth)^1212</f>
        <v>9.3699807048187474E+34</v>
      </c>
      <c r="L1214" s="4">
        <f t="shared" si="74"/>
        <v>1.4548029197017193E+45</v>
      </c>
      <c r="M1214" s="4">
        <f t="shared" si="75"/>
        <v>1.1040676250530753E+55</v>
      </c>
    </row>
    <row r="1215" spans="1:13" x14ac:dyDescent="0.2">
      <c r="A1215" s="3">
        <f>StartYear+1213</f>
        <v>3238</v>
      </c>
      <c r="B1215" s="4">
        <f>FacultyFTE*HoursPerWeek*WeeksPerYear*RatePerHour*(1+PracticeGrowth)^1213</f>
        <v>1.4521526094747266E+31</v>
      </c>
      <c r="C1215" s="4">
        <f>StudentsY1*(1+StudentGrowth)^1213*CreditsPerStudent*TuitionPerCredit</f>
        <v>9.0759538092170408E+31</v>
      </c>
      <c r="D1215" s="4">
        <f>SimRevY1*(1+SimGrowth)^1213</f>
        <v>8.0964959181227423E+54</v>
      </c>
      <c r="E1215" s="4">
        <f>FacDevRevY1*(1+FacDevGrowth)^1213</f>
        <v>4.0482479590613711E+54</v>
      </c>
      <c r="F1215" s="4">
        <f t="shared" si="72"/>
        <v>1.2144743877184114E+55</v>
      </c>
      <c r="G1215" s="4">
        <f t="shared" si="73"/>
        <v>1.2144743877184114E+55</v>
      </c>
      <c r="H1215" s="4">
        <f>SalaryFTECount*SalaryPerFTE*(1+SalaryGrowth)^1213</f>
        <v>9.6307445623007167E+25</v>
      </c>
      <c r="I1215" s="4">
        <f>SimOpsY1*(1+SimOpsGrowth)^1213</f>
        <v>1.0474581021177742E+45</v>
      </c>
      <c r="J1215" s="4">
        <f>TrainDevY1*(1+TrainDevGrowth)^1213</f>
        <v>5.237290510588871E+44</v>
      </c>
      <c r="K1215" s="4">
        <f>AdminY1*(1+AdminGrowth)^1213</f>
        <v>9.9321795471078735E+34</v>
      </c>
      <c r="L1215" s="4">
        <f t="shared" si="74"/>
        <v>1.5711871532759829E+45</v>
      </c>
      <c r="M1215" s="4">
        <f t="shared" si="75"/>
        <v>1.2144743875612927E+55</v>
      </c>
    </row>
    <row r="1216" spans="1:13" x14ac:dyDescent="0.2">
      <c r="A1216" s="3">
        <f>StartYear+1214</f>
        <v>3239</v>
      </c>
      <c r="B1216" s="4">
        <f>FacultyFTE*HoursPerWeek*WeeksPerYear*RatePerHour*(1+PracticeGrowth)^1214</f>
        <v>1.5247602399484625E+31</v>
      </c>
      <c r="C1216" s="4">
        <f>StudentsY1*(1+StudentGrowth)^1214*CreditsPerStudent*TuitionPerCredit</f>
        <v>9.5297514996778913E+31</v>
      </c>
      <c r="D1216" s="4">
        <f>SimRevY1*(1+SimGrowth)^1214</f>
        <v>8.9061455099350177E+54</v>
      </c>
      <c r="E1216" s="4">
        <f>FacDevRevY1*(1+FacDevGrowth)^1214</f>
        <v>4.4530727549675089E+54</v>
      </c>
      <c r="F1216" s="4">
        <f t="shared" si="72"/>
        <v>1.3359218264902527E+55</v>
      </c>
      <c r="G1216" s="4">
        <f t="shared" si="73"/>
        <v>1.3359218264902527E+55</v>
      </c>
      <c r="H1216" s="4">
        <f>SalaryFTECount*SalaryPerFTE*(1+SalaryGrowth)^1214</f>
        <v>1.0015974344792744E+26</v>
      </c>
      <c r="I1216" s="4">
        <f>SimOpsY1*(1+SimOpsGrowth)^1214</f>
        <v>1.1312547502871963E+45</v>
      </c>
      <c r="J1216" s="4">
        <f>TrainDevY1*(1+TrainDevGrowth)^1214</f>
        <v>5.6562737514359817E+44</v>
      </c>
      <c r="K1216" s="4">
        <f>AdminY1*(1+AdminGrowth)^1214</f>
        <v>1.0528110319934347E+35</v>
      </c>
      <c r="L1216" s="4">
        <f t="shared" si="74"/>
        <v>1.6968821255360757E+45</v>
      </c>
      <c r="M1216" s="4">
        <f t="shared" si="75"/>
        <v>1.3359218263205645E+55</v>
      </c>
    </row>
    <row r="1217" spans="1:13" x14ac:dyDescent="0.2">
      <c r="A1217" s="3">
        <f>StartYear+1215</f>
        <v>3240</v>
      </c>
      <c r="B1217" s="4">
        <f>FacultyFTE*HoursPerWeek*WeeksPerYear*RatePerHour*(1+PracticeGrowth)^1215</f>
        <v>1.6009982519458863E+31</v>
      </c>
      <c r="C1217" s="4">
        <f>StudentsY1*(1+StudentGrowth)^1215*CreditsPerStudent*TuitionPerCredit</f>
        <v>1.000623907466179E+32</v>
      </c>
      <c r="D1217" s="4">
        <f>SimRevY1*(1+SimGrowth)^1215</f>
        <v>9.7967600609285176E+54</v>
      </c>
      <c r="E1217" s="4">
        <f>FacDevRevY1*(1+FacDevGrowth)^1215</f>
        <v>4.8983800304642588E+54</v>
      </c>
      <c r="F1217" s="4">
        <f t="shared" si="72"/>
        <v>1.4695140091392777E+55</v>
      </c>
      <c r="G1217" s="4">
        <f t="shared" si="73"/>
        <v>1.4695140091392777E+55</v>
      </c>
      <c r="H1217" s="4">
        <f>SalaryFTECount*SalaryPerFTE*(1+SalaryGrowth)^1215</f>
        <v>1.0416613318584453E+26</v>
      </c>
      <c r="I1217" s="4">
        <f>SimOpsY1*(1+SimOpsGrowth)^1215</f>
        <v>1.2217551303101723E+45</v>
      </c>
      <c r="J1217" s="4">
        <f>TrainDevY1*(1+TrainDevGrowth)^1215</f>
        <v>6.1087756515508614E+44</v>
      </c>
      <c r="K1217" s="4">
        <f>AdminY1*(1+AdminGrowth)^1215</f>
        <v>1.1159796939130413E+35</v>
      </c>
      <c r="L1217" s="4">
        <f t="shared" si="74"/>
        <v>1.8326326955768562E+45</v>
      </c>
      <c r="M1217" s="4">
        <f t="shared" si="75"/>
        <v>1.4695140089560144E+55</v>
      </c>
    </row>
    <row r="1218" spans="1:13" x14ac:dyDescent="0.2">
      <c r="A1218" s="3">
        <f>StartYear+1216</f>
        <v>3241</v>
      </c>
      <c r="B1218" s="4">
        <f>FacultyFTE*HoursPerWeek*WeeksPerYear*RatePerHour*(1+PracticeGrowth)^1216</f>
        <v>1.6810481645431803E+31</v>
      </c>
      <c r="C1218" s="4">
        <f>StudentsY1*(1+StudentGrowth)^1216*CreditsPerStudent*TuitionPerCredit</f>
        <v>1.0506551028394878E+32</v>
      </c>
      <c r="D1218" s="4">
        <f>SimRevY1*(1+SimGrowth)^1216</f>
        <v>1.0776436067021371E+55</v>
      </c>
      <c r="E1218" s="4">
        <f>FacDevRevY1*(1+FacDevGrowth)^1216</f>
        <v>5.3882180335106853E+54</v>
      </c>
      <c r="F1218" s="4">
        <f t="shared" ref="F1218:F1281" si="76">C1218+D1218+E1218</f>
        <v>1.6164654100532056E+55</v>
      </c>
      <c r="G1218" s="4">
        <f t="shared" ref="G1218:G1281" si="77">B1218+F1218</f>
        <v>1.6164654100532056E+55</v>
      </c>
      <c r="H1218" s="4">
        <f>SalaryFTECount*SalaryPerFTE*(1+SalaryGrowth)^1216</f>
        <v>1.0833277851327833E+26</v>
      </c>
      <c r="I1218" s="4">
        <f>SimOpsY1*(1+SimOpsGrowth)^1216</f>
        <v>1.319495540734986E+45</v>
      </c>
      <c r="J1218" s="4">
        <f>TrainDevY1*(1+TrainDevGrowth)^1216</f>
        <v>6.5974777036749299E+44</v>
      </c>
      <c r="K1218" s="4">
        <f>AdminY1*(1+AdminGrowth)^1216</f>
        <v>1.1829384755478231E+35</v>
      </c>
      <c r="L1218" s="4">
        <f t="shared" ref="L1218:L1281" si="78">SUM(H1218:K1218)</f>
        <v>1.979243311220773E+45</v>
      </c>
      <c r="M1218" s="4">
        <f t="shared" ref="M1218:M1281" si="79">G1218-L1218</f>
        <v>1.6164654098552813E+55</v>
      </c>
    </row>
    <row r="1219" spans="1:13" x14ac:dyDescent="0.2">
      <c r="A1219" s="3">
        <f>StartYear+1217</f>
        <v>3242</v>
      </c>
      <c r="B1219" s="4">
        <f>FacultyFTE*HoursPerWeek*WeeksPerYear*RatePerHour*(1+PracticeGrowth)^1217</f>
        <v>1.7651005727703397E+31</v>
      </c>
      <c r="C1219" s="4">
        <f>StudentsY1*(1+StudentGrowth)^1217*CreditsPerStudent*TuitionPerCredit</f>
        <v>1.1031878579814624E+32</v>
      </c>
      <c r="D1219" s="4">
        <f>SimRevY1*(1+SimGrowth)^1217</f>
        <v>1.185407967372351E+55</v>
      </c>
      <c r="E1219" s="4">
        <f>FacDevRevY1*(1+FacDevGrowth)^1217</f>
        <v>5.927039836861755E+54</v>
      </c>
      <c r="F1219" s="4">
        <f t="shared" si="76"/>
        <v>1.7781119510585266E+55</v>
      </c>
      <c r="G1219" s="4">
        <f t="shared" si="77"/>
        <v>1.7781119510585266E+55</v>
      </c>
      <c r="H1219" s="4">
        <f>SalaryFTECount*SalaryPerFTE*(1+SalaryGrowth)^1217</f>
        <v>1.1266608965380947E+26</v>
      </c>
      <c r="I1219" s="4">
        <f>SimOpsY1*(1+SimOpsGrowth)^1217</f>
        <v>1.4250551839937851E+45</v>
      </c>
      <c r="J1219" s="4">
        <f>TrainDevY1*(1+TrainDevGrowth)^1217</f>
        <v>7.1252759199689257E+44</v>
      </c>
      <c r="K1219" s="4">
        <f>AdminY1*(1+AdminGrowth)^1217</f>
        <v>1.2539147840806925E+35</v>
      </c>
      <c r="L1219" s="4">
        <f t="shared" si="78"/>
        <v>2.1375827761160692E+45</v>
      </c>
      <c r="M1219" s="4">
        <f t="shared" si="79"/>
        <v>1.7781119508447683E+55</v>
      </c>
    </row>
    <row r="1220" spans="1:13" x14ac:dyDescent="0.2">
      <c r="A1220" s="3">
        <f>StartYear+1218</f>
        <v>3243</v>
      </c>
      <c r="B1220" s="4">
        <f>FacultyFTE*HoursPerWeek*WeeksPerYear*RatePerHour*(1+PracticeGrowth)^1218</f>
        <v>1.8533556014088565E+31</v>
      </c>
      <c r="C1220" s="4">
        <f>StudentsY1*(1+StudentGrowth)^1218*CreditsPerStudent*TuitionPerCredit</f>
        <v>1.1583472508805352E+32</v>
      </c>
      <c r="D1220" s="4">
        <f>SimRevY1*(1+SimGrowth)^1218</f>
        <v>1.303948764109586E+55</v>
      </c>
      <c r="E1220" s="4">
        <f>FacDevRevY1*(1+FacDevGrowth)^1218</f>
        <v>6.5197438205479301E+54</v>
      </c>
      <c r="F1220" s="4">
        <f t="shared" si="76"/>
        <v>1.9559231461643789E+55</v>
      </c>
      <c r="G1220" s="4">
        <f t="shared" si="77"/>
        <v>1.9559231461643789E+55</v>
      </c>
      <c r="H1220" s="4">
        <f>SalaryFTECount*SalaryPerFTE*(1+SalaryGrowth)^1218</f>
        <v>1.1717273323996186E+26</v>
      </c>
      <c r="I1220" s="4">
        <f>SimOpsY1*(1+SimOpsGrowth)^1218</f>
        <v>1.5390595987132879E+45</v>
      </c>
      <c r="J1220" s="4">
        <f>TrainDevY1*(1+TrainDevGrowth)^1218</f>
        <v>7.6952979935664397E+44</v>
      </c>
      <c r="K1220" s="4">
        <f>AdminY1*(1+AdminGrowth)^1218</f>
        <v>1.3291496711255343E+35</v>
      </c>
      <c r="L1220" s="4">
        <f t="shared" si="78"/>
        <v>2.308589398202847E+45</v>
      </c>
      <c r="M1220" s="4">
        <f t="shared" si="79"/>
        <v>1.9559231459335199E+55</v>
      </c>
    </row>
    <row r="1221" spans="1:13" x14ac:dyDescent="0.2">
      <c r="A1221" s="3">
        <f>StartYear+1219</f>
        <v>3244</v>
      </c>
      <c r="B1221" s="4">
        <f>FacultyFTE*HoursPerWeek*WeeksPerYear*RatePerHour*(1+PracticeGrowth)^1219</f>
        <v>1.9460233814792995E+31</v>
      </c>
      <c r="C1221" s="4">
        <f>StudentsY1*(1+StudentGrowth)^1219*CreditsPerStudent*TuitionPerCredit</f>
        <v>1.2162646134245622E+32</v>
      </c>
      <c r="D1221" s="4">
        <f>SimRevY1*(1+SimGrowth)^1219</f>
        <v>1.4343436405205451E+55</v>
      </c>
      <c r="E1221" s="4">
        <f>FacDevRevY1*(1+FacDevGrowth)^1219</f>
        <v>7.1717182026027257E+54</v>
      </c>
      <c r="F1221" s="4">
        <f t="shared" si="76"/>
        <v>2.1515154607808177E+55</v>
      </c>
      <c r="G1221" s="4">
        <f t="shared" si="77"/>
        <v>2.1515154607808177E+55</v>
      </c>
      <c r="H1221" s="4">
        <f>SalaryFTECount*SalaryPerFTE*(1+SalaryGrowth)^1219</f>
        <v>1.2185964256956033E+26</v>
      </c>
      <c r="I1221" s="4">
        <f>SimOpsY1*(1+SimOpsGrowth)^1219</f>
        <v>1.6621843666103508E+45</v>
      </c>
      <c r="J1221" s="4">
        <f>TrainDevY1*(1+TrainDevGrowth)^1219</f>
        <v>8.3109218330517541E+44</v>
      </c>
      <c r="K1221" s="4">
        <f>AdminY1*(1+AdminGrowth)^1219</f>
        <v>1.4088986513930664E+35</v>
      </c>
      <c r="L1221" s="4">
        <f t="shared" si="78"/>
        <v>2.4932765500564161E+45</v>
      </c>
      <c r="M1221" s="4">
        <f t="shared" si="79"/>
        <v>2.1515154605314901E+55</v>
      </c>
    </row>
    <row r="1222" spans="1:13" x14ac:dyDescent="0.2">
      <c r="A1222" s="3">
        <f>StartYear+1220</f>
        <v>3245</v>
      </c>
      <c r="B1222" s="4">
        <f>FacultyFTE*HoursPerWeek*WeeksPerYear*RatePerHour*(1+PracticeGrowth)^1220</f>
        <v>2.0433245505532646E+31</v>
      </c>
      <c r="C1222" s="4">
        <f>StudentsY1*(1+StudentGrowth)^1220*CreditsPerStudent*TuitionPerCredit</f>
        <v>1.2770778440957901E+32</v>
      </c>
      <c r="D1222" s="4">
        <f>SimRevY1*(1+SimGrowth)^1220</f>
        <v>1.5777780045725995E+55</v>
      </c>
      <c r="E1222" s="4">
        <f>FacDevRevY1*(1+FacDevGrowth)^1220</f>
        <v>7.8888900228629974E+54</v>
      </c>
      <c r="F1222" s="4">
        <f t="shared" si="76"/>
        <v>2.3666670068588992E+55</v>
      </c>
      <c r="G1222" s="4">
        <f t="shared" si="77"/>
        <v>2.3666670068588992E+55</v>
      </c>
      <c r="H1222" s="4">
        <f>SalaryFTECount*SalaryPerFTE*(1+SalaryGrowth)^1220</f>
        <v>1.2673402827234274E+26</v>
      </c>
      <c r="I1222" s="4">
        <f>SimOpsY1*(1+SimOpsGrowth)^1220</f>
        <v>1.795159115939179E+45</v>
      </c>
      <c r="J1222" s="4">
        <f>TrainDevY1*(1+TrainDevGrowth)^1220</f>
        <v>8.9757955796958948E+44</v>
      </c>
      <c r="K1222" s="4">
        <f>AdminY1*(1+AdminGrowth)^1220</f>
        <v>1.4934325704766506E+35</v>
      </c>
      <c r="L1222" s="4">
        <f t="shared" si="78"/>
        <v>2.6927386740581116E+45</v>
      </c>
      <c r="M1222" s="4">
        <f t="shared" si="79"/>
        <v>2.3666670065896253E+55</v>
      </c>
    </row>
    <row r="1223" spans="1:13" x14ac:dyDescent="0.2">
      <c r="A1223" s="3">
        <f>StartYear+1221</f>
        <v>3246</v>
      </c>
      <c r="B1223" s="4">
        <f>FacultyFTE*HoursPerWeek*WeeksPerYear*RatePerHour*(1+PracticeGrowth)^1221</f>
        <v>2.1454907780809276E+31</v>
      </c>
      <c r="C1223" s="4">
        <f>StudentsY1*(1+StudentGrowth)^1221*CreditsPerStudent*TuitionPerCredit</f>
        <v>1.3409317363005797E+32</v>
      </c>
      <c r="D1223" s="4">
        <f>SimRevY1*(1+SimGrowth)^1221</f>
        <v>1.7355558050298597E+55</v>
      </c>
      <c r="E1223" s="4">
        <f>FacDevRevY1*(1+FacDevGrowth)^1221</f>
        <v>8.6777790251492985E+54</v>
      </c>
      <c r="F1223" s="4">
        <f t="shared" si="76"/>
        <v>2.6033337075447897E+55</v>
      </c>
      <c r="G1223" s="4">
        <f t="shared" si="77"/>
        <v>2.6033337075447897E+55</v>
      </c>
      <c r="H1223" s="4">
        <f>SalaryFTECount*SalaryPerFTE*(1+SalaryGrowth)^1221</f>
        <v>1.3180338940323647E+26</v>
      </c>
      <c r="I1223" s="4">
        <f>SimOpsY1*(1+SimOpsGrowth)^1221</f>
        <v>1.9387718452143135E+45</v>
      </c>
      <c r="J1223" s="4">
        <f>TrainDevY1*(1+TrainDevGrowth)^1221</f>
        <v>9.6938592260715676E+44</v>
      </c>
      <c r="K1223" s="4">
        <f>AdminY1*(1+AdminGrowth)^1221</f>
        <v>1.5830385247052495E+35</v>
      </c>
      <c r="L1223" s="4">
        <f t="shared" si="78"/>
        <v>2.9081577679797737E+45</v>
      </c>
      <c r="M1223" s="4">
        <f t="shared" si="79"/>
        <v>2.603333707253974E+55</v>
      </c>
    </row>
    <row r="1224" spans="1:13" x14ac:dyDescent="0.2">
      <c r="A1224" s="3">
        <f>StartYear+1222</f>
        <v>3247</v>
      </c>
      <c r="B1224" s="4">
        <f>FacultyFTE*HoursPerWeek*WeeksPerYear*RatePerHour*(1+PracticeGrowth)^1222</f>
        <v>2.2527653169849737E+31</v>
      </c>
      <c r="C1224" s="4">
        <f>StudentsY1*(1+StudentGrowth)^1222*CreditsPerStudent*TuitionPerCredit</f>
        <v>1.4079783231156087E+32</v>
      </c>
      <c r="D1224" s="4">
        <f>SimRevY1*(1+SimGrowth)^1222</f>
        <v>1.9091113855328456E+55</v>
      </c>
      <c r="E1224" s="4">
        <f>FacDevRevY1*(1+FacDevGrowth)^1222</f>
        <v>9.5455569276642282E+54</v>
      </c>
      <c r="F1224" s="4">
        <f t="shared" si="76"/>
        <v>2.8636670782992686E+55</v>
      </c>
      <c r="G1224" s="4">
        <f t="shared" si="77"/>
        <v>2.8636670782992686E+55</v>
      </c>
      <c r="H1224" s="4">
        <f>SalaryFTECount*SalaryPerFTE*(1+SalaryGrowth)^1222</f>
        <v>1.3707552497936594E+26</v>
      </c>
      <c r="I1224" s="4">
        <f>SimOpsY1*(1+SimOpsGrowth)^1222</f>
        <v>2.0938735928314593E+45</v>
      </c>
      <c r="J1224" s="4">
        <f>TrainDevY1*(1+TrainDevGrowth)^1222</f>
        <v>1.0469367964157296E+45</v>
      </c>
      <c r="K1224" s="4">
        <f>AdminY1*(1+AdminGrowth)^1222</f>
        <v>1.6780208361875647E+35</v>
      </c>
      <c r="L1224" s="4">
        <f t="shared" si="78"/>
        <v>3.1408103894149911E+45</v>
      </c>
      <c r="M1224" s="4">
        <f t="shared" si="79"/>
        <v>2.8636670779851874E+55</v>
      </c>
    </row>
    <row r="1225" spans="1:13" x14ac:dyDescent="0.2">
      <c r="A1225" s="3">
        <f>StartYear+1223</f>
        <v>3248</v>
      </c>
      <c r="B1225" s="4">
        <f>FacultyFTE*HoursPerWeek*WeeksPerYear*RatePerHour*(1+PracticeGrowth)^1223</f>
        <v>2.3654035828342229E+31</v>
      </c>
      <c r="C1225" s="4">
        <f>StudentsY1*(1+StudentGrowth)^1223*CreditsPerStudent*TuitionPerCredit</f>
        <v>1.4783772392713893E+32</v>
      </c>
      <c r="D1225" s="4">
        <f>SimRevY1*(1+SimGrowth)^1223</f>
        <v>2.1000225240861306E+55</v>
      </c>
      <c r="E1225" s="4">
        <f>FacDevRevY1*(1+FacDevGrowth)^1223</f>
        <v>1.0500112620430653E+55</v>
      </c>
      <c r="F1225" s="4">
        <f t="shared" si="76"/>
        <v>3.1500337861291961E+55</v>
      </c>
      <c r="G1225" s="4">
        <f t="shared" si="77"/>
        <v>3.1500337861291961E+55</v>
      </c>
      <c r="H1225" s="4">
        <f>SalaryFTECount*SalaryPerFTE*(1+SalaryGrowth)^1223</f>
        <v>1.4255854597854055E+26</v>
      </c>
      <c r="I1225" s="4">
        <f>SimOpsY1*(1+SimOpsGrowth)^1223</f>
        <v>2.2613834802579756E+45</v>
      </c>
      <c r="J1225" s="4">
        <f>TrainDevY1*(1+TrainDevGrowth)^1223</f>
        <v>1.1306917401289878E+45</v>
      </c>
      <c r="K1225" s="4">
        <f>AdminY1*(1+AdminGrowth)^1223</f>
        <v>1.7787020863588189E+35</v>
      </c>
      <c r="L1225" s="4">
        <f t="shared" si="78"/>
        <v>3.3920752205648337E+45</v>
      </c>
      <c r="M1225" s="4">
        <f t="shared" si="79"/>
        <v>3.1500337857899885E+55</v>
      </c>
    </row>
    <row r="1226" spans="1:13" x14ac:dyDescent="0.2">
      <c r="A1226" s="3">
        <f>StartYear+1224</f>
        <v>3249</v>
      </c>
      <c r="B1226" s="4">
        <f>FacultyFTE*HoursPerWeek*WeeksPerYear*RatePerHour*(1+PracticeGrowth)^1224</f>
        <v>2.4836737619759339E+31</v>
      </c>
      <c r="C1226" s="4">
        <f>StudentsY1*(1+StudentGrowth)^1224*CreditsPerStudent*TuitionPerCredit</f>
        <v>1.5522961012349587E+32</v>
      </c>
      <c r="D1226" s="4">
        <f>SimRevY1*(1+SimGrowth)^1224</f>
        <v>2.3100247764947435E+55</v>
      </c>
      <c r="E1226" s="4">
        <f>FacDevRevY1*(1+FacDevGrowth)^1224</f>
        <v>1.1550123882473718E+55</v>
      </c>
      <c r="F1226" s="4">
        <f t="shared" si="76"/>
        <v>3.4650371647421154E+55</v>
      </c>
      <c r="G1226" s="4">
        <f t="shared" si="77"/>
        <v>3.4650371647421154E+55</v>
      </c>
      <c r="H1226" s="4">
        <f>SalaryFTECount*SalaryPerFTE*(1+SalaryGrowth)^1224</f>
        <v>1.4826088781768221E+26</v>
      </c>
      <c r="I1226" s="4">
        <f>SimOpsY1*(1+SimOpsGrowth)^1224</f>
        <v>2.4422941586786138E+45</v>
      </c>
      <c r="J1226" s="4">
        <f>TrainDevY1*(1+TrainDevGrowth)^1224</f>
        <v>1.2211470793393069E+45</v>
      </c>
      <c r="K1226" s="4">
        <f>AdminY1*(1+AdminGrowth)^1224</f>
        <v>1.8854242115403478E+35</v>
      </c>
      <c r="L1226" s="4">
        <f t="shared" si="78"/>
        <v>3.6634412382064627E+45</v>
      </c>
      <c r="M1226" s="4">
        <f t="shared" si="79"/>
        <v>3.4650371643757712E+55</v>
      </c>
    </row>
    <row r="1227" spans="1:13" x14ac:dyDescent="0.2">
      <c r="A1227" s="3">
        <f>StartYear+1225</f>
        <v>3250</v>
      </c>
      <c r="B1227" s="4">
        <f>FacultyFTE*HoursPerWeek*WeeksPerYear*RatePerHour*(1+PracticeGrowth)^1225</f>
        <v>2.6078574500747305E+31</v>
      </c>
      <c r="C1227" s="4">
        <f>StudentsY1*(1+StudentGrowth)^1225*CreditsPerStudent*TuitionPerCredit</f>
        <v>1.6299109062967065E+32</v>
      </c>
      <c r="D1227" s="4">
        <f>SimRevY1*(1+SimGrowth)^1225</f>
        <v>2.5410272541442181E+55</v>
      </c>
      <c r="E1227" s="4">
        <f>FacDevRevY1*(1+FacDevGrowth)^1225</f>
        <v>1.2705136270721091E+55</v>
      </c>
      <c r="F1227" s="4">
        <f t="shared" si="76"/>
        <v>3.8115408812163272E+55</v>
      </c>
      <c r="G1227" s="4">
        <f t="shared" si="77"/>
        <v>3.8115408812163272E+55</v>
      </c>
      <c r="H1227" s="4">
        <f>SalaryFTECount*SalaryPerFTE*(1+SalaryGrowth)^1225</f>
        <v>1.5419132333038952E+26</v>
      </c>
      <c r="I1227" s="4">
        <f>SimOpsY1*(1+SimOpsGrowth)^1225</f>
        <v>2.6376776913729032E+45</v>
      </c>
      <c r="J1227" s="4">
        <f>TrainDevY1*(1+TrainDevGrowth)^1225</f>
        <v>1.3188388456864516E+45</v>
      </c>
      <c r="K1227" s="4">
        <f>AdminY1*(1+AdminGrowth)^1225</f>
        <v>1.9985496642327686E+35</v>
      </c>
      <c r="L1227" s="4">
        <f t="shared" si="78"/>
        <v>3.95651653725921E+45</v>
      </c>
      <c r="M1227" s="4">
        <f t="shared" si="79"/>
        <v>3.8115408808206757E+55</v>
      </c>
    </row>
    <row r="1228" spans="1:13" x14ac:dyDescent="0.2">
      <c r="A1228" s="3">
        <f>StartYear+1226</f>
        <v>3251</v>
      </c>
      <c r="B1228" s="4">
        <f>FacultyFTE*HoursPerWeek*WeeksPerYear*RatePerHour*(1+PracticeGrowth)^1226</f>
        <v>2.7382503225784668E+31</v>
      </c>
      <c r="C1228" s="4">
        <f>StudentsY1*(1+StudentGrowth)^1226*CreditsPerStudent*TuitionPerCredit</f>
        <v>1.7114064516115417E+32</v>
      </c>
      <c r="D1228" s="4">
        <f>SimRevY1*(1+SimGrowth)^1226</f>
        <v>2.7951299795586401E+55</v>
      </c>
      <c r="E1228" s="4">
        <f>FacDevRevY1*(1+FacDevGrowth)^1226</f>
        <v>1.3975649897793201E+55</v>
      </c>
      <c r="F1228" s="4">
        <f t="shared" si="76"/>
        <v>4.1926949693379599E+55</v>
      </c>
      <c r="G1228" s="4">
        <f t="shared" si="77"/>
        <v>4.1926949693379599E+55</v>
      </c>
      <c r="H1228" s="4">
        <f>SalaryFTECount*SalaryPerFTE*(1+SalaryGrowth)^1226</f>
        <v>1.6035897626360509E+26</v>
      </c>
      <c r="I1228" s="4">
        <f>SimOpsY1*(1+SimOpsGrowth)^1226</f>
        <v>2.8486919066827357E+45</v>
      </c>
      <c r="J1228" s="4">
        <f>TrainDevY1*(1+TrainDevGrowth)^1226</f>
        <v>1.4243459533413679E+45</v>
      </c>
      <c r="K1228" s="4">
        <f>AdminY1*(1+AdminGrowth)^1226</f>
        <v>2.118462644086735E+35</v>
      </c>
      <c r="L1228" s="4">
        <f t="shared" si="78"/>
        <v>4.2730378602359496E+45</v>
      </c>
      <c r="M1228" s="4">
        <f t="shared" si="79"/>
        <v>4.1926949689106562E+55</v>
      </c>
    </row>
    <row r="1229" spans="1:13" x14ac:dyDescent="0.2">
      <c r="A1229" s="3">
        <f>StartYear+1227</f>
        <v>3252</v>
      </c>
      <c r="B1229" s="4">
        <f>FacultyFTE*HoursPerWeek*WeeksPerYear*RatePerHour*(1+PracticeGrowth)^1227</f>
        <v>2.8751628387073903E+31</v>
      </c>
      <c r="C1229" s="4">
        <f>StudentsY1*(1+StudentGrowth)^1227*CreditsPerStudent*TuitionPerCredit</f>
        <v>1.7969767741921193E+32</v>
      </c>
      <c r="D1229" s="4">
        <f>SimRevY1*(1+SimGrowth)^1227</f>
        <v>3.0746429775145041E+55</v>
      </c>
      <c r="E1229" s="4">
        <f>FacDevRevY1*(1+FacDevGrowth)^1227</f>
        <v>1.537321488757252E+55</v>
      </c>
      <c r="F1229" s="4">
        <f t="shared" si="76"/>
        <v>4.6119644662717561E+55</v>
      </c>
      <c r="G1229" s="4">
        <f t="shared" si="77"/>
        <v>4.6119644662717561E+55</v>
      </c>
      <c r="H1229" s="4">
        <f>SalaryFTECount*SalaryPerFTE*(1+SalaryGrowth)^1227</f>
        <v>1.6677333531414927E+26</v>
      </c>
      <c r="I1229" s="4">
        <f>SimOpsY1*(1+SimOpsGrowth)^1227</f>
        <v>3.0765872592173545E+45</v>
      </c>
      <c r="J1229" s="4">
        <f>TrainDevY1*(1+TrainDevGrowth)^1227</f>
        <v>1.5382936296086773E+45</v>
      </c>
      <c r="K1229" s="4">
        <f>AdminY1*(1+AdminGrowth)^1227</f>
        <v>2.2455704027319392E+35</v>
      </c>
      <c r="L1229" s="4">
        <f t="shared" si="78"/>
        <v>4.6148808890505891E+45</v>
      </c>
      <c r="M1229" s="4">
        <f t="shared" si="79"/>
        <v>4.6119644658102679E+55</v>
      </c>
    </row>
    <row r="1230" spans="1:13" x14ac:dyDescent="0.2">
      <c r="A1230" s="3">
        <f>StartYear+1228</f>
        <v>3253</v>
      </c>
      <c r="B1230" s="4">
        <f>FacultyFTE*HoursPerWeek*WeeksPerYear*RatePerHour*(1+PracticeGrowth)^1228</f>
        <v>3.0189209806427598E+31</v>
      </c>
      <c r="C1230" s="4">
        <f>StudentsY1*(1+StudentGrowth)^1228*CreditsPerStudent*TuitionPerCredit</f>
        <v>1.8868256129017251E+32</v>
      </c>
      <c r="D1230" s="4">
        <f>SimRevY1*(1+SimGrowth)^1228</f>
        <v>3.3821072752659541E+55</v>
      </c>
      <c r="E1230" s="4">
        <f>FacDevRevY1*(1+FacDevGrowth)^1228</f>
        <v>1.691053637632977E+55</v>
      </c>
      <c r="F1230" s="4">
        <f t="shared" si="76"/>
        <v>5.0731609128989314E+55</v>
      </c>
      <c r="G1230" s="4">
        <f t="shared" si="77"/>
        <v>5.0731609128989314E+55</v>
      </c>
      <c r="H1230" s="4">
        <f>SalaryFTECount*SalaryPerFTE*(1+SalaryGrowth)^1228</f>
        <v>1.7344426872671527E+26</v>
      </c>
      <c r="I1230" s="4">
        <f>SimOpsY1*(1+SimOpsGrowth)^1228</f>
        <v>3.3227142399547433E+45</v>
      </c>
      <c r="J1230" s="4">
        <f>TrainDevY1*(1+TrainDevGrowth)^1228</f>
        <v>1.6613571199773716E+45</v>
      </c>
      <c r="K1230" s="4">
        <f>AdminY1*(1+AdminGrowth)^1228</f>
        <v>2.3803046268958557E+35</v>
      </c>
      <c r="L1230" s="4">
        <f t="shared" si="78"/>
        <v>4.9840713601701454E+45</v>
      </c>
      <c r="M1230" s="4">
        <f t="shared" si="79"/>
        <v>5.0731609124005239E+55</v>
      </c>
    </row>
    <row r="1231" spans="1:13" x14ac:dyDescent="0.2">
      <c r="A1231" s="3">
        <f>StartYear+1229</f>
        <v>3254</v>
      </c>
      <c r="B1231" s="4">
        <f>FacultyFTE*HoursPerWeek*WeeksPerYear*RatePerHour*(1+PracticeGrowth)^1229</f>
        <v>3.1698670296748984E+31</v>
      </c>
      <c r="C1231" s="4">
        <f>StudentsY1*(1+StudentGrowth)^1229*CreditsPerStudent*TuitionPerCredit</f>
        <v>1.9811668935468113E+32</v>
      </c>
      <c r="D1231" s="4">
        <f>SimRevY1*(1+SimGrowth)^1229</f>
        <v>3.7203180027925504E+55</v>
      </c>
      <c r="E1231" s="4">
        <f>FacDevRevY1*(1+FacDevGrowth)^1229</f>
        <v>1.8601590013962752E+55</v>
      </c>
      <c r="F1231" s="4">
        <f t="shared" si="76"/>
        <v>5.5804770041888256E+55</v>
      </c>
      <c r="G1231" s="4">
        <f t="shared" si="77"/>
        <v>5.5804770041888256E+55</v>
      </c>
      <c r="H1231" s="4">
        <f>SalaryFTECount*SalaryPerFTE*(1+SalaryGrowth)^1229</f>
        <v>1.8038203947578391E+26</v>
      </c>
      <c r="I1231" s="4">
        <f>SimOpsY1*(1+SimOpsGrowth)^1229</f>
        <v>3.588531379151122E+45</v>
      </c>
      <c r="J1231" s="4">
        <f>TrainDevY1*(1+TrainDevGrowth)^1229</f>
        <v>1.794265689575561E+45</v>
      </c>
      <c r="K1231" s="4">
        <f>AdminY1*(1+AdminGrowth)^1229</f>
        <v>2.5231229045096075E+35</v>
      </c>
      <c r="L1231" s="4">
        <f t="shared" si="78"/>
        <v>5.3827970689789955E+45</v>
      </c>
      <c r="M1231" s="4">
        <f t="shared" si="79"/>
        <v>5.5804770036505457E+55</v>
      </c>
    </row>
    <row r="1232" spans="1:13" x14ac:dyDescent="0.2">
      <c r="A1232" s="3">
        <f>StartYear+1230</f>
        <v>3255</v>
      </c>
      <c r="B1232" s="4">
        <f>FacultyFTE*HoursPerWeek*WeeksPerYear*RatePerHour*(1+PracticeGrowth)^1230</f>
        <v>3.3283603811586421E+31</v>
      </c>
      <c r="C1232" s="4">
        <f>StudentsY1*(1+StudentGrowth)^1230*CreditsPerStudent*TuitionPerCredit</f>
        <v>2.0802252382241512E+32</v>
      </c>
      <c r="D1232" s="4">
        <f>SimRevY1*(1+SimGrowth)^1230</f>
        <v>4.0923498030718057E+55</v>
      </c>
      <c r="E1232" s="4">
        <f>FacDevRevY1*(1+FacDevGrowth)^1230</f>
        <v>2.0461749015359028E+55</v>
      </c>
      <c r="F1232" s="4">
        <f t="shared" si="76"/>
        <v>6.138524704607709E+55</v>
      </c>
      <c r="G1232" s="4">
        <f t="shared" si="77"/>
        <v>6.138524704607709E+55</v>
      </c>
      <c r="H1232" s="4">
        <f>SalaryFTECount*SalaryPerFTE*(1+SalaryGrowth)^1230</f>
        <v>1.8759732105481525E+26</v>
      </c>
      <c r="I1232" s="4">
        <f>SimOpsY1*(1+SimOpsGrowth)^1230</f>
        <v>3.8756138894832126E+45</v>
      </c>
      <c r="J1232" s="4">
        <f>TrainDevY1*(1+TrainDevGrowth)^1230</f>
        <v>1.9378069447416063E+45</v>
      </c>
      <c r="K1232" s="4">
        <f>AdminY1*(1+AdminGrowth)^1230</f>
        <v>2.674510278780184E+35</v>
      </c>
      <c r="L1232" s="4">
        <f t="shared" si="78"/>
        <v>5.81342083449227E+45</v>
      </c>
      <c r="M1232" s="4">
        <f t="shared" si="79"/>
        <v>6.1385247040263674E+55</v>
      </c>
    </row>
    <row r="1233" spans="1:13" x14ac:dyDescent="0.2">
      <c r="A1233" s="3">
        <f>StartYear+1231</f>
        <v>3256</v>
      </c>
      <c r="B1233" s="4">
        <f>FacultyFTE*HoursPerWeek*WeeksPerYear*RatePerHour*(1+PracticeGrowth)^1231</f>
        <v>3.4947784002165752E+31</v>
      </c>
      <c r="C1233" s="4">
        <f>StudentsY1*(1+StudentGrowth)^1231*CreditsPerStudent*TuitionPerCredit</f>
        <v>2.1842365001353597E+32</v>
      </c>
      <c r="D1233" s="4">
        <f>SimRevY1*(1+SimGrowth)^1231</f>
        <v>4.5015847833789863E+55</v>
      </c>
      <c r="E1233" s="4">
        <f>FacDevRevY1*(1+FacDevGrowth)^1231</f>
        <v>2.2507923916894932E+55</v>
      </c>
      <c r="F1233" s="4">
        <f t="shared" si="76"/>
        <v>6.7523771750684795E+55</v>
      </c>
      <c r="G1233" s="4">
        <f t="shared" si="77"/>
        <v>6.7523771750684795E+55</v>
      </c>
      <c r="H1233" s="4">
        <f>SalaryFTECount*SalaryPerFTE*(1+SalaryGrowth)^1231</f>
        <v>1.9510121389700785E+26</v>
      </c>
      <c r="I1233" s="4">
        <f>SimOpsY1*(1+SimOpsGrowth)^1231</f>
        <v>4.1856630006418699E+45</v>
      </c>
      <c r="J1233" s="4">
        <f>TrainDevY1*(1+TrainDevGrowth)^1231</f>
        <v>2.0928315003209349E+45</v>
      </c>
      <c r="K1233" s="4">
        <f>AdminY1*(1+AdminGrowth)^1231</f>
        <v>2.8349808955069957E+35</v>
      </c>
      <c r="L1233" s="4">
        <f t="shared" si="78"/>
        <v>6.2784945012463035E+45</v>
      </c>
      <c r="M1233" s="4">
        <f t="shared" si="79"/>
        <v>6.7523771744406297E+55</v>
      </c>
    </row>
    <row r="1234" spans="1:13" x14ac:dyDescent="0.2">
      <c r="A1234" s="3">
        <f>StartYear+1232</f>
        <v>3257</v>
      </c>
      <c r="B1234" s="4">
        <f>FacultyFTE*HoursPerWeek*WeeksPerYear*RatePerHour*(1+PracticeGrowth)^1232</f>
        <v>3.6695173202274044E+31</v>
      </c>
      <c r="C1234" s="4">
        <f>StudentsY1*(1+StudentGrowth)^1232*CreditsPerStudent*TuitionPerCredit</f>
        <v>2.2934483251421276E+32</v>
      </c>
      <c r="D1234" s="4">
        <f>SimRevY1*(1+SimGrowth)^1232</f>
        <v>4.9517432617168854E+55</v>
      </c>
      <c r="E1234" s="4">
        <f>FacDevRevY1*(1+FacDevGrowth)^1232</f>
        <v>2.4758716308584427E+55</v>
      </c>
      <c r="F1234" s="4">
        <f t="shared" si="76"/>
        <v>7.4276148925753276E+55</v>
      </c>
      <c r="G1234" s="4">
        <f t="shared" si="77"/>
        <v>7.4276148925753276E+55</v>
      </c>
      <c r="H1234" s="4">
        <f>SalaryFTECount*SalaryPerFTE*(1+SalaryGrowth)^1232</f>
        <v>2.0290526245288823E+26</v>
      </c>
      <c r="I1234" s="4">
        <f>SimOpsY1*(1+SimOpsGrowth)^1232</f>
        <v>4.5205160406932197E+45</v>
      </c>
      <c r="J1234" s="4">
        <f>TrainDevY1*(1+TrainDevGrowth)^1232</f>
        <v>2.2602580203466098E+45</v>
      </c>
      <c r="K1234" s="4">
        <f>AdminY1*(1+AdminGrowth)^1232</f>
        <v>3.0050797492374148E+35</v>
      </c>
      <c r="L1234" s="4">
        <f t="shared" si="78"/>
        <v>6.7807740613403372E+45</v>
      </c>
      <c r="M1234" s="4">
        <f t="shared" si="79"/>
        <v>7.4276148918972499E+55</v>
      </c>
    </row>
    <row r="1235" spans="1:13" x14ac:dyDescent="0.2">
      <c r="A1235" s="3">
        <f>StartYear+1233</f>
        <v>3258</v>
      </c>
      <c r="B1235" s="4">
        <f>FacultyFTE*HoursPerWeek*WeeksPerYear*RatePerHour*(1+PracticeGrowth)^1233</f>
        <v>3.8529931862387751E+31</v>
      </c>
      <c r="C1235" s="4">
        <f>StudentsY1*(1+StudentGrowth)^1233*CreditsPerStudent*TuitionPerCredit</f>
        <v>2.4081207413992344E+32</v>
      </c>
      <c r="D1235" s="4">
        <f>SimRevY1*(1+SimGrowth)^1233</f>
        <v>5.4469175878885741E+55</v>
      </c>
      <c r="E1235" s="4">
        <f>FacDevRevY1*(1+FacDevGrowth)^1233</f>
        <v>2.723458793944287E+55</v>
      </c>
      <c r="F1235" s="4">
        <f t="shared" si="76"/>
        <v>8.1703763818328605E+55</v>
      </c>
      <c r="G1235" s="4">
        <f t="shared" si="77"/>
        <v>8.1703763818328605E+55</v>
      </c>
      <c r="H1235" s="4">
        <f>SalaryFTECount*SalaryPerFTE*(1+SalaryGrowth)^1233</f>
        <v>2.1102147295100374E+26</v>
      </c>
      <c r="I1235" s="4">
        <f>SimOpsY1*(1+SimOpsGrowth)^1233</f>
        <v>4.8821573239486765E+45</v>
      </c>
      <c r="J1235" s="4">
        <f>TrainDevY1*(1+TrainDevGrowth)^1233</f>
        <v>2.4410786619743382E+45</v>
      </c>
      <c r="K1235" s="4">
        <f>AdminY1*(1+AdminGrowth)^1233</f>
        <v>3.1853845341916604E+35</v>
      </c>
      <c r="L1235" s="4">
        <f t="shared" si="78"/>
        <v>7.3232359862415534E+45</v>
      </c>
      <c r="M1235" s="4">
        <f t="shared" si="79"/>
        <v>8.1703763811005369E+55</v>
      </c>
    </row>
    <row r="1236" spans="1:13" x14ac:dyDescent="0.2">
      <c r="A1236" s="3">
        <f>StartYear+1234</f>
        <v>3259</v>
      </c>
      <c r="B1236" s="4">
        <f>FacultyFTE*HoursPerWeek*WeeksPerYear*RatePerHour*(1+PracticeGrowth)^1234</f>
        <v>4.0456428455507133E+31</v>
      </c>
      <c r="C1236" s="4">
        <f>StudentsY1*(1+StudentGrowth)^1234*CreditsPerStudent*TuitionPerCredit</f>
        <v>2.5285267784691957E+32</v>
      </c>
      <c r="D1236" s="4">
        <f>SimRevY1*(1+SimGrowth)^1234</f>
        <v>5.9916093466774316E+55</v>
      </c>
      <c r="E1236" s="4">
        <f>FacDevRevY1*(1+FacDevGrowth)^1234</f>
        <v>2.9958046733387158E+55</v>
      </c>
      <c r="F1236" s="4">
        <f t="shared" si="76"/>
        <v>8.9874140200161468E+55</v>
      </c>
      <c r="G1236" s="4">
        <f t="shared" si="77"/>
        <v>8.9874140200161468E+55</v>
      </c>
      <c r="H1236" s="4">
        <f>SalaryFTECount*SalaryPerFTE*(1+SalaryGrowth)^1234</f>
        <v>2.1946233186904391E+26</v>
      </c>
      <c r="I1236" s="4">
        <f>SimOpsY1*(1+SimOpsGrowth)^1234</f>
        <v>5.2727299098645717E+45</v>
      </c>
      <c r="J1236" s="4">
        <f>TrainDevY1*(1+TrainDevGrowth)^1234</f>
        <v>2.6363649549322858E+45</v>
      </c>
      <c r="K1236" s="4">
        <f>AdminY1*(1+AdminGrowth)^1234</f>
        <v>3.376507606243159E+35</v>
      </c>
      <c r="L1236" s="4">
        <f t="shared" si="78"/>
        <v>7.9090948651345077E+45</v>
      </c>
      <c r="M1236" s="4">
        <f t="shared" si="79"/>
        <v>8.9874140192252369E+55</v>
      </c>
    </row>
    <row r="1237" spans="1:13" x14ac:dyDescent="0.2">
      <c r="A1237" s="3">
        <f>StartYear+1235</f>
        <v>3260</v>
      </c>
      <c r="B1237" s="4">
        <f>FacultyFTE*HoursPerWeek*WeeksPerYear*RatePerHour*(1+PracticeGrowth)^1235</f>
        <v>4.2479249878282491E+31</v>
      </c>
      <c r="C1237" s="4">
        <f>StudentsY1*(1+StudentGrowth)^1235*CreditsPerStudent*TuitionPerCredit</f>
        <v>2.6549531173926556E+32</v>
      </c>
      <c r="D1237" s="4">
        <f>SimRevY1*(1+SimGrowth)^1235</f>
        <v>6.5907702813451774E+55</v>
      </c>
      <c r="E1237" s="4">
        <f>FacDevRevY1*(1+FacDevGrowth)^1235</f>
        <v>3.2953851406725887E+55</v>
      </c>
      <c r="F1237" s="4">
        <f t="shared" si="76"/>
        <v>9.8861554220177667E+55</v>
      </c>
      <c r="G1237" s="4">
        <f t="shared" si="77"/>
        <v>9.8861554220177667E+55</v>
      </c>
      <c r="H1237" s="4">
        <f>SalaryFTECount*SalaryPerFTE*(1+SalaryGrowth)^1235</f>
        <v>2.2824082514380566E+26</v>
      </c>
      <c r="I1237" s="4">
        <f>SimOpsY1*(1+SimOpsGrowth)^1235</f>
        <v>5.6945483026537392E+45</v>
      </c>
      <c r="J1237" s="4">
        <f>TrainDevY1*(1+TrainDevGrowth)^1235</f>
        <v>2.8472741513268696E+45</v>
      </c>
      <c r="K1237" s="4">
        <f>AdminY1*(1+AdminGrowth)^1235</f>
        <v>3.5790980626177495E+35</v>
      </c>
      <c r="L1237" s="4">
        <f t="shared" si="78"/>
        <v>8.5418224543385192E+45</v>
      </c>
      <c r="M1237" s="4">
        <f t="shared" si="79"/>
        <v>9.886155421163585E+55</v>
      </c>
    </row>
    <row r="1238" spans="1:13" x14ac:dyDescent="0.2">
      <c r="A1238" s="3">
        <f>StartYear+1236</f>
        <v>3261</v>
      </c>
      <c r="B1238" s="4">
        <f>FacultyFTE*HoursPerWeek*WeeksPerYear*RatePerHour*(1+PracticeGrowth)^1236</f>
        <v>4.4603212372196616E+31</v>
      </c>
      <c r="C1238" s="4">
        <f>StudentsY1*(1+StudentGrowth)^1236*CreditsPerStudent*TuitionPerCredit</f>
        <v>2.7877007732622881E+32</v>
      </c>
      <c r="D1238" s="4">
        <f>SimRevY1*(1+SimGrowth)^1236</f>
        <v>7.2498473094796933E+55</v>
      </c>
      <c r="E1238" s="4">
        <f>FacDevRevY1*(1+FacDevGrowth)^1236</f>
        <v>3.6249236547398467E+55</v>
      </c>
      <c r="F1238" s="4">
        <f t="shared" si="76"/>
        <v>1.0874770964219541E+56</v>
      </c>
      <c r="G1238" s="4">
        <f t="shared" si="77"/>
        <v>1.0874770964219541E+56</v>
      </c>
      <c r="H1238" s="4">
        <f>SalaryFTECount*SalaryPerFTE*(1+SalaryGrowth)^1236</f>
        <v>2.3737045814955789E+26</v>
      </c>
      <c r="I1238" s="4">
        <f>SimOpsY1*(1+SimOpsGrowth)^1236</f>
        <v>6.1501121668660378E+45</v>
      </c>
      <c r="J1238" s="4">
        <f>TrainDevY1*(1+TrainDevGrowth)^1236</f>
        <v>3.0750560834330189E+45</v>
      </c>
      <c r="K1238" s="4">
        <f>AdminY1*(1+AdminGrowth)^1236</f>
        <v>3.7938439463748146E+35</v>
      </c>
      <c r="L1238" s="4">
        <f t="shared" si="78"/>
        <v>9.2251682506784424E+45</v>
      </c>
      <c r="M1238" s="4">
        <f t="shared" si="79"/>
        <v>1.0874770963297024E+56</v>
      </c>
    </row>
    <row r="1239" spans="1:13" x14ac:dyDescent="0.2">
      <c r="A1239" s="3">
        <f>StartYear+1237</f>
        <v>3262</v>
      </c>
      <c r="B1239" s="4">
        <f>FacultyFTE*HoursPerWeek*WeeksPerYear*RatePerHour*(1+PracticeGrowth)^1237</f>
        <v>4.683337299080644E+31</v>
      </c>
      <c r="C1239" s="4">
        <f>StudentsY1*(1+StudentGrowth)^1237*CreditsPerStudent*TuitionPerCredit</f>
        <v>2.9270858119254028E+32</v>
      </c>
      <c r="D1239" s="4">
        <f>SimRevY1*(1+SimGrowth)^1237</f>
        <v>7.9748320404276634E+55</v>
      </c>
      <c r="E1239" s="4">
        <f>FacDevRevY1*(1+FacDevGrowth)^1237</f>
        <v>3.9874160202138317E+55</v>
      </c>
      <c r="F1239" s="4">
        <f t="shared" si="76"/>
        <v>1.1962248060641495E+56</v>
      </c>
      <c r="G1239" s="4">
        <f t="shared" si="77"/>
        <v>1.1962248060641495E+56</v>
      </c>
      <c r="H1239" s="4">
        <f>SalaryFTECount*SalaryPerFTE*(1+SalaryGrowth)^1237</f>
        <v>2.4686527647554026E+26</v>
      </c>
      <c r="I1239" s="4">
        <f>SimOpsY1*(1+SimOpsGrowth)^1237</f>
        <v>6.6421211402153207E+45</v>
      </c>
      <c r="J1239" s="4">
        <f>TrainDevY1*(1+TrainDevGrowth)^1237</f>
        <v>3.3210605701076604E+45</v>
      </c>
      <c r="K1239" s="4">
        <f>AdminY1*(1+AdminGrowth)^1237</f>
        <v>4.0214745831573039E+35</v>
      </c>
      <c r="L1239" s="4">
        <f t="shared" si="78"/>
        <v>9.9631817107251287E+45</v>
      </c>
      <c r="M1239" s="4">
        <f t="shared" si="79"/>
        <v>1.1962248059645176E+56</v>
      </c>
    </row>
    <row r="1240" spans="1:13" x14ac:dyDescent="0.2">
      <c r="A1240" s="3">
        <f>StartYear+1238</f>
        <v>3263</v>
      </c>
      <c r="B1240" s="4">
        <f>FacultyFTE*HoursPerWeek*WeeksPerYear*RatePerHour*(1+PracticeGrowth)^1238</f>
        <v>4.9175041640346761E+31</v>
      </c>
      <c r="C1240" s="4">
        <f>StudentsY1*(1+StudentGrowth)^1238*CreditsPerStudent*TuitionPerCredit</f>
        <v>3.0734401025216721E+32</v>
      </c>
      <c r="D1240" s="4">
        <f>SimRevY1*(1+SimGrowth)^1238</f>
        <v>8.7723152444704321E+55</v>
      </c>
      <c r="E1240" s="4">
        <f>FacDevRevY1*(1+FacDevGrowth)^1238</f>
        <v>4.386157622235216E+55</v>
      </c>
      <c r="F1240" s="4">
        <f t="shared" si="76"/>
        <v>1.3158472866705649E+56</v>
      </c>
      <c r="G1240" s="4">
        <f t="shared" si="77"/>
        <v>1.3158472866705649E+56</v>
      </c>
      <c r="H1240" s="4">
        <f>SalaryFTECount*SalaryPerFTE*(1+SalaryGrowth)^1238</f>
        <v>2.5673988753456192E+26</v>
      </c>
      <c r="I1240" s="4">
        <f>SimOpsY1*(1+SimOpsGrowth)^1238</f>
        <v>7.1734908314325462E+45</v>
      </c>
      <c r="J1240" s="4">
        <f>TrainDevY1*(1+TrainDevGrowth)^1238</f>
        <v>3.5867454157162731E+45</v>
      </c>
      <c r="K1240" s="4">
        <f>AdminY1*(1+AdminGrowth)^1238</f>
        <v>4.2627630581467421E+35</v>
      </c>
      <c r="L1240" s="4">
        <f t="shared" si="78"/>
        <v>1.0760236247575095E+46</v>
      </c>
      <c r="M1240" s="4">
        <f t="shared" si="79"/>
        <v>1.3158472865629625E+56</v>
      </c>
    </row>
    <row r="1241" spans="1:13" x14ac:dyDescent="0.2">
      <c r="A1241" s="3">
        <f>StartYear+1239</f>
        <v>3264</v>
      </c>
      <c r="B1241" s="4">
        <f>FacultyFTE*HoursPerWeek*WeeksPerYear*RatePerHour*(1+PracticeGrowth)^1239</f>
        <v>5.1633793722364117E+31</v>
      </c>
      <c r="C1241" s="4">
        <f>StudentsY1*(1+StudentGrowth)^1239*CreditsPerStudent*TuitionPerCredit</f>
        <v>3.2271121076477576E+32</v>
      </c>
      <c r="D1241" s="4">
        <f>SimRevY1*(1+SimGrowth)^1239</f>
        <v>9.6495467689174752E+55</v>
      </c>
      <c r="E1241" s="4">
        <f>FacDevRevY1*(1+FacDevGrowth)^1239</f>
        <v>4.8247733844587376E+55</v>
      </c>
      <c r="F1241" s="4">
        <f t="shared" si="76"/>
        <v>1.4474320153376213E+56</v>
      </c>
      <c r="G1241" s="4">
        <f t="shared" si="77"/>
        <v>1.4474320153376213E+56</v>
      </c>
      <c r="H1241" s="4">
        <f>SalaryFTECount*SalaryPerFTE*(1+SalaryGrowth)^1239</f>
        <v>2.6700948303594427E+26</v>
      </c>
      <c r="I1241" s="4">
        <f>SimOpsY1*(1+SimOpsGrowth)^1239</f>
        <v>7.7473700979471505E+45</v>
      </c>
      <c r="J1241" s="4">
        <f>TrainDevY1*(1+TrainDevGrowth)^1239</f>
        <v>3.8736850489735752E+45</v>
      </c>
      <c r="K1241" s="4">
        <f>AdminY1*(1+AdminGrowth)^1239</f>
        <v>4.5185288416355482E+35</v>
      </c>
      <c r="L1241" s="4">
        <f t="shared" si="78"/>
        <v>1.162105514737258E+46</v>
      </c>
      <c r="M1241" s="4">
        <f t="shared" si="79"/>
        <v>1.4474320152214107E+56</v>
      </c>
    </row>
    <row r="1242" spans="1:13" x14ac:dyDescent="0.2">
      <c r="A1242" s="3">
        <f>StartYear+1240</f>
        <v>3265</v>
      </c>
      <c r="B1242" s="4">
        <f>FacultyFTE*HoursPerWeek*WeeksPerYear*RatePerHour*(1+PracticeGrowth)^1240</f>
        <v>5.4215483408482309E+31</v>
      </c>
      <c r="C1242" s="4">
        <f>StudentsY1*(1+StudentGrowth)^1240*CreditsPerStudent*TuitionPerCredit</f>
        <v>3.3884677130301442E+32</v>
      </c>
      <c r="D1242" s="4">
        <f>SimRevY1*(1+SimGrowth)^1240</f>
        <v>1.0614501445809222E+56</v>
      </c>
      <c r="E1242" s="4">
        <f>FacDevRevY1*(1+FacDevGrowth)^1240</f>
        <v>5.3072507229046112E+55</v>
      </c>
      <c r="F1242" s="4">
        <f t="shared" si="76"/>
        <v>1.5921752168713835E+56</v>
      </c>
      <c r="G1242" s="4">
        <f t="shared" si="77"/>
        <v>1.5921752168713835E+56</v>
      </c>
      <c r="H1242" s="4">
        <f>SalaryFTECount*SalaryPerFTE*(1+SalaryGrowth)^1240</f>
        <v>2.7768986235738213E+26</v>
      </c>
      <c r="I1242" s="4">
        <f>SimOpsY1*(1+SimOpsGrowth)^1240</f>
        <v>8.3671597057829224E+45</v>
      </c>
      <c r="J1242" s="4">
        <f>TrainDevY1*(1+TrainDevGrowth)^1240</f>
        <v>4.1835798528914612E+45</v>
      </c>
      <c r="K1242" s="4">
        <f>AdminY1*(1+AdminGrowth)^1240</f>
        <v>4.7896405721336794E+35</v>
      </c>
      <c r="L1242" s="4">
        <f t="shared" si="78"/>
        <v>1.2550739559153347E+46</v>
      </c>
      <c r="M1242" s="4">
        <f t="shared" si="79"/>
        <v>1.592175216745876E+56</v>
      </c>
    </row>
    <row r="1243" spans="1:13" x14ac:dyDescent="0.2">
      <c r="A1243" s="3">
        <f>StartYear+1241</f>
        <v>3266</v>
      </c>
      <c r="B1243" s="4">
        <f>FacultyFTE*HoursPerWeek*WeeksPerYear*RatePerHour*(1+PracticeGrowth)^1241</f>
        <v>5.6926257578906423E+31</v>
      </c>
      <c r="C1243" s="4">
        <f>StudentsY1*(1+StudentGrowth)^1241*CreditsPerStudent*TuitionPerCredit</f>
        <v>3.5578910986816511E+32</v>
      </c>
      <c r="D1243" s="4">
        <f>SimRevY1*(1+SimGrowth)^1241</f>
        <v>1.1675951590390148E+56</v>
      </c>
      <c r="E1243" s="4">
        <f>FacDevRevY1*(1+FacDevGrowth)^1241</f>
        <v>5.8379757951950739E+55</v>
      </c>
      <c r="F1243" s="4">
        <f t="shared" si="76"/>
        <v>1.7513927385585223E+56</v>
      </c>
      <c r="G1243" s="4">
        <f t="shared" si="77"/>
        <v>1.7513927385585223E+56</v>
      </c>
      <c r="H1243" s="4">
        <f>SalaryFTECount*SalaryPerFTE*(1+SalaryGrowth)^1241</f>
        <v>2.8879745685167749E+26</v>
      </c>
      <c r="I1243" s="4">
        <f>SimOpsY1*(1+SimOpsGrowth)^1241</f>
        <v>9.0365324822455571E+45</v>
      </c>
      <c r="J1243" s="4">
        <f>TrainDevY1*(1+TrainDevGrowth)^1241</f>
        <v>4.5182662411227786E+45</v>
      </c>
      <c r="K1243" s="4">
        <f>AdminY1*(1+AdminGrowth)^1241</f>
        <v>5.0770190064617011E+35</v>
      </c>
      <c r="L1243" s="4">
        <f t="shared" si="78"/>
        <v>1.3554798723876037E+46</v>
      </c>
      <c r="M1243" s="4">
        <f t="shared" si="79"/>
        <v>1.7513927384229743E+56</v>
      </c>
    </row>
    <row r="1244" spans="1:13" x14ac:dyDescent="0.2">
      <c r="A1244" s="3">
        <f>StartYear+1242</f>
        <v>3267</v>
      </c>
      <c r="B1244" s="4">
        <f>FacultyFTE*HoursPerWeek*WeeksPerYear*RatePerHour*(1+PracticeGrowth)^1242</f>
        <v>5.9772570457851743E+31</v>
      </c>
      <c r="C1244" s="4">
        <f>StudentsY1*(1+StudentGrowth)^1242*CreditsPerStudent*TuitionPerCredit</f>
        <v>3.7357856536157337E+32</v>
      </c>
      <c r="D1244" s="4">
        <f>SimRevY1*(1+SimGrowth)^1242</f>
        <v>1.2843546749429163E+56</v>
      </c>
      <c r="E1244" s="4">
        <f>FacDevRevY1*(1+FacDevGrowth)^1242</f>
        <v>6.4217733747145814E+55</v>
      </c>
      <c r="F1244" s="4">
        <f t="shared" si="76"/>
        <v>1.9265320124143744E+56</v>
      </c>
      <c r="G1244" s="4">
        <f t="shared" si="77"/>
        <v>1.9265320124143744E+56</v>
      </c>
      <c r="H1244" s="4">
        <f>SalaryFTECount*SalaryPerFTE*(1+SalaryGrowth)^1242</f>
        <v>3.0034935512574454E+26</v>
      </c>
      <c r="I1244" s="4">
        <f>SimOpsY1*(1+SimOpsGrowth)^1242</f>
        <v>9.759455080825201E+45</v>
      </c>
      <c r="J1244" s="4">
        <f>TrainDevY1*(1+TrainDevGrowth)^1242</f>
        <v>4.8797275404126005E+45</v>
      </c>
      <c r="K1244" s="4">
        <f>AdminY1*(1+AdminGrowth)^1242</f>
        <v>5.3816401468494024E+35</v>
      </c>
      <c r="L1244" s="4">
        <f t="shared" si="78"/>
        <v>1.4639182621775964E+46</v>
      </c>
      <c r="M1244" s="4">
        <f t="shared" si="79"/>
        <v>1.9265320122679827E+56</v>
      </c>
    </row>
    <row r="1245" spans="1:13" x14ac:dyDescent="0.2">
      <c r="A1245" s="3">
        <f>StartYear+1243</f>
        <v>3268</v>
      </c>
      <c r="B1245" s="4">
        <f>FacultyFTE*HoursPerWeek*WeeksPerYear*RatePerHour*(1+PracticeGrowth)^1243</f>
        <v>6.2761198980744346E+31</v>
      </c>
      <c r="C1245" s="4">
        <f>StudentsY1*(1+StudentGrowth)^1243*CreditsPerStudent*TuitionPerCredit</f>
        <v>3.9225749362965218E+32</v>
      </c>
      <c r="D1245" s="4">
        <f>SimRevY1*(1+SimGrowth)^1243</f>
        <v>1.4127901424372081E+56</v>
      </c>
      <c r="E1245" s="4">
        <f>FacDevRevY1*(1+FacDevGrowth)^1243</f>
        <v>7.0639507121860404E+55</v>
      </c>
      <c r="F1245" s="4">
        <f t="shared" si="76"/>
        <v>2.1191852136558121E+56</v>
      </c>
      <c r="G1245" s="4">
        <f t="shared" si="77"/>
        <v>2.1191852136558121E+56</v>
      </c>
      <c r="H1245" s="4">
        <f>SalaryFTECount*SalaryPerFTE*(1+SalaryGrowth)^1243</f>
        <v>3.1236332933077432E+26</v>
      </c>
      <c r="I1245" s="4">
        <f>SimOpsY1*(1+SimOpsGrowth)^1243</f>
        <v>1.0540211487291217E+46</v>
      </c>
      <c r="J1245" s="4">
        <f>TrainDevY1*(1+TrainDevGrowth)^1243</f>
        <v>5.2701057436456087E+45</v>
      </c>
      <c r="K1245" s="4">
        <f>AdminY1*(1+AdminGrowth)^1243</f>
        <v>5.7045385556603681E+35</v>
      </c>
      <c r="L1245" s="4">
        <f t="shared" si="78"/>
        <v>1.581031723150728E+46</v>
      </c>
      <c r="M1245" s="4">
        <f t="shared" si="79"/>
        <v>2.119185213497709E+56</v>
      </c>
    </row>
    <row r="1246" spans="1:13" x14ac:dyDescent="0.2">
      <c r="A1246" s="3">
        <f>StartYear+1244</f>
        <v>3269</v>
      </c>
      <c r="B1246" s="4">
        <f>FacultyFTE*HoursPerWeek*WeeksPerYear*RatePerHour*(1+PracticeGrowth)^1244</f>
        <v>6.5899258929781551E+31</v>
      </c>
      <c r="C1246" s="4">
        <f>StudentsY1*(1+StudentGrowth)^1244*CreditsPerStudent*TuitionPerCredit</f>
        <v>4.1187036831113463E+32</v>
      </c>
      <c r="D1246" s="4">
        <f>SimRevY1*(1+SimGrowth)^1244</f>
        <v>1.5540691566809288E+56</v>
      </c>
      <c r="E1246" s="4">
        <f>FacDevRevY1*(1+FacDevGrowth)^1244</f>
        <v>7.7703457834046441E+55</v>
      </c>
      <c r="F1246" s="4">
        <f t="shared" si="76"/>
        <v>2.3311037350213932E+56</v>
      </c>
      <c r="G1246" s="4">
        <f t="shared" si="77"/>
        <v>2.3311037350213932E+56</v>
      </c>
      <c r="H1246" s="4">
        <f>SalaryFTECount*SalaryPerFTE*(1+SalaryGrowth)^1244</f>
        <v>3.2485786250400533E+26</v>
      </c>
      <c r="I1246" s="4">
        <f>SimOpsY1*(1+SimOpsGrowth)^1244</f>
        <v>1.1383428406274515E+46</v>
      </c>
      <c r="J1246" s="4">
        <f>TrainDevY1*(1+TrainDevGrowth)^1244</f>
        <v>5.6917142031372577E+45</v>
      </c>
      <c r="K1246" s="4">
        <f>AdminY1*(1+AdminGrowth)^1244</f>
        <v>6.046810868999991E+35</v>
      </c>
      <c r="L1246" s="4">
        <f t="shared" si="78"/>
        <v>1.7075142610016454E+46</v>
      </c>
      <c r="M1246" s="4">
        <f t="shared" si="79"/>
        <v>2.3311037348506418E+56</v>
      </c>
    </row>
    <row r="1247" spans="1:13" x14ac:dyDescent="0.2">
      <c r="A1247" s="3">
        <f>StartYear+1245</f>
        <v>3270</v>
      </c>
      <c r="B1247" s="4">
        <f>FacultyFTE*HoursPerWeek*WeeksPerYear*RatePerHour*(1+PracticeGrowth)^1245</f>
        <v>6.9194221876270654E+31</v>
      </c>
      <c r="C1247" s="4">
        <f>StudentsY1*(1+StudentGrowth)^1245*CreditsPerStudent*TuitionPerCredit</f>
        <v>4.324638867266916E+32</v>
      </c>
      <c r="D1247" s="4">
        <f>SimRevY1*(1+SimGrowth)^1245</f>
        <v>1.7094760723490216E+56</v>
      </c>
      <c r="E1247" s="4">
        <f>FacDevRevY1*(1+FacDevGrowth)^1245</f>
        <v>8.547380361745108E+55</v>
      </c>
      <c r="F1247" s="4">
        <f t="shared" si="76"/>
        <v>2.5642141085235324E+56</v>
      </c>
      <c r="G1247" s="4">
        <f t="shared" si="77"/>
        <v>2.5642141085235324E+56</v>
      </c>
      <c r="H1247" s="4">
        <f>SalaryFTECount*SalaryPerFTE*(1+SalaryGrowth)^1245</f>
        <v>3.3785217700416563E+26</v>
      </c>
      <c r="I1247" s="4">
        <f>SimOpsY1*(1+SimOpsGrowth)^1245</f>
        <v>1.2294102678776477E+46</v>
      </c>
      <c r="J1247" s="4">
        <f>TrainDevY1*(1+TrainDevGrowth)^1245</f>
        <v>6.1470513393882386E+45</v>
      </c>
      <c r="K1247" s="4">
        <f>AdminY1*(1+AdminGrowth)^1245</f>
        <v>6.4096195211399909E+35</v>
      </c>
      <c r="L1247" s="4">
        <f t="shared" si="78"/>
        <v>1.8441154018805677E+46</v>
      </c>
      <c r="M1247" s="4">
        <f t="shared" si="79"/>
        <v>2.5642141083391209E+56</v>
      </c>
    </row>
    <row r="1248" spans="1:13" x14ac:dyDescent="0.2">
      <c r="A1248" s="3">
        <f>StartYear+1246</f>
        <v>3271</v>
      </c>
      <c r="B1248" s="4">
        <f>FacultyFTE*HoursPerWeek*WeeksPerYear*RatePerHour*(1+PracticeGrowth)^1246</f>
        <v>7.2653932970084143E+31</v>
      </c>
      <c r="C1248" s="4">
        <f>StudentsY1*(1+StudentGrowth)^1246*CreditsPerStudent*TuitionPerCredit</f>
        <v>4.5408708106302592E+32</v>
      </c>
      <c r="D1248" s="4">
        <f>SimRevY1*(1+SimGrowth)^1246</f>
        <v>1.8804236795839245E+56</v>
      </c>
      <c r="E1248" s="4">
        <f>FacDevRevY1*(1+FacDevGrowth)^1246</f>
        <v>9.4021183979196227E+55</v>
      </c>
      <c r="F1248" s="4">
        <f t="shared" si="76"/>
        <v>2.8206355193758868E+56</v>
      </c>
      <c r="G1248" s="4">
        <f t="shared" si="77"/>
        <v>2.8206355193758868E+56</v>
      </c>
      <c r="H1248" s="4">
        <f>SalaryFTECount*SalaryPerFTE*(1+SalaryGrowth)^1246</f>
        <v>3.5136626408433216E+26</v>
      </c>
      <c r="I1248" s="4">
        <f>SimOpsY1*(1+SimOpsGrowth)^1246</f>
        <v>1.3277630893078598E+46</v>
      </c>
      <c r="J1248" s="4">
        <f>TrainDevY1*(1+TrainDevGrowth)^1246</f>
        <v>6.6388154465392989E+45</v>
      </c>
      <c r="K1248" s="4">
        <f>AdminY1*(1+AdminGrowth)^1246</f>
        <v>6.7941966924083898E+35</v>
      </c>
      <c r="L1248" s="4">
        <f t="shared" si="78"/>
        <v>1.9916446340297315E+46</v>
      </c>
      <c r="M1248" s="4">
        <f t="shared" si="79"/>
        <v>2.8206355191767224E+56</v>
      </c>
    </row>
    <row r="1249" spans="1:13" x14ac:dyDescent="0.2">
      <c r="A1249" s="3">
        <f>StartYear+1247</f>
        <v>3272</v>
      </c>
      <c r="B1249" s="4">
        <f>FacultyFTE*HoursPerWeek*WeeksPerYear*RatePerHour*(1+PracticeGrowth)^1247</f>
        <v>7.6286629618588395E+31</v>
      </c>
      <c r="C1249" s="4">
        <f>StudentsY1*(1+StudentGrowth)^1247*CreditsPerStudent*TuitionPerCredit</f>
        <v>4.7679143511617745E+32</v>
      </c>
      <c r="D1249" s="4">
        <f>SimRevY1*(1+SimGrowth)^1247</f>
        <v>2.0684660475423166E+56</v>
      </c>
      <c r="E1249" s="4">
        <f>FacDevRevY1*(1+FacDevGrowth)^1247</f>
        <v>1.0342330237711583E+56</v>
      </c>
      <c r="F1249" s="4">
        <f t="shared" si="76"/>
        <v>3.1026990713134749E+56</v>
      </c>
      <c r="G1249" s="4">
        <f t="shared" si="77"/>
        <v>3.1026990713134749E+56</v>
      </c>
      <c r="H1249" s="4">
        <f>SalaryFTECount*SalaryPerFTE*(1+SalaryGrowth)^1247</f>
        <v>3.6542091464770548E+26</v>
      </c>
      <c r="I1249" s="4">
        <f>SimOpsY1*(1+SimOpsGrowth)^1247</f>
        <v>1.4339841364524888E+46</v>
      </c>
      <c r="J1249" s="4">
        <f>TrainDevY1*(1+TrainDevGrowth)^1247</f>
        <v>7.1699206822624438E+45</v>
      </c>
      <c r="K1249" s="4">
        <f>AdminY1*(1+AdminGrowth)^1247</f>
        <v>7.2018484939528952E+35</v>
      </c>
      <c r="L1249" s="4">
        <f t="shared" si="78"/>
        <v>2.1509762047507517E+46</v>
      </c>
      <c r="M1249" s="4">
        <f t="shared" si="79"/>
        <v>3.1026990710983772E+56</v>
      </c>
    </row>
    <row r="1250" spans="1:13" x14ac:dyDescent="0.2">
      <c r="A1250" s="3">
        <f>StartYear+1248</f>
        <v>3273</v>
      </c>
      <c r="B1250" s="4">
        <f>FacultyFTE*HoursPerWeek*WeeksPerYear*RatePerHour*(1+PracticeGrowth)^1248</f>
        <v>8.0100961099517794E+31</v>
      </c>
      <c r="C1250" s="4">
        <f>StudentsY1*(1+StudentGrowth)^1248*CreditsPerStudent*TuitionPerCredit</f>
        <v>5.0063100687198623E+32</v>
      </c>
      <c r="D1250" s="4">
        <f>SimRevY1*(1+SimGrowth)^1248</f>
        <v>2.2753126522965486E+56</v>
      </c>
      <c r="E1250" s="4">
        <f>FacDevRevY1*(1+FacDevGrowth)^1248</f>
        <v>1.1376563261482743E+56</v>
      </c>
      <c r="F1250" s="4">
        <f t="shared" si="76"/>
        <v>3.4129689784448229E+56</v>
      </c>
      <c r="G1250" s="4">
        <f t="shared" si="77"/>
        <v>3.4129689784448229E+56</v>
      </c>
      <c r="H1250" s="4">
        <f>SalaryFTECount*SalaryPerFTE*(1+SalaryGrowth)^1248</f>
        <v>3.8003775123361373E+26</v>
      </c>
      <c r="I1250" s="4">
        <f>SimOpsY1*(1+SimOpsGrowth)^1248</f>
        <v>1.548702867368688E+46</v>
      </c>
      <c r="J1250" s="4">
        <f>TrainDevY1*(1+TrainDevGrowth)^1248</f>
        <v>7.74351433684344E+45</v>
      </c>
      <c r="K1250" s="4">
        <f>AdminY1*(1+AdminGrowth)^1248</f>
        <v>7.6339594035900681E+35</v>
      </c>
      <c r="L1250" s="4">
        <f t="shared" si="78"/>
        <v>2.3230543011293713E+46</v>
      </c>
      <c r="M1250" s="4">
        <f t="shared" si="79"/>
        <v>3.4129689782125175E+56</v>
      </c>
    </row>
    <row r="1251" spans="1:13" x14ac:dyDescent="0.2">
      <c r="A1251" s="3">
        <f>StartYear+1249</f>
        <v>3274</v>
      </c>
      <c r="B1251" s="4">
        <f>FacultyFTE*HoursPerWeek*WeeksPerYear*RatePerHour*(1+PracticeGrowth)^1249</f>
        <v>8.41060091544937E+31</v>
      </c>
      <c r="C1251" s="4">
        <f>StudentsY1*(1+StudentGrowth)^1249*CreditsPerStudent*TuitionPerCredit</f>
        <v>5.2566255721558566E+32</v>
      </c>
      <c r="D1251" s="4">
        <f>SimRevY1*(1+SimGrowth)^1249</f>
        <v>2.5028439175262033E+56</v>
      </c>
      <c r="E1251" s="4">
        <f>FacDevRevY1*(1+FacDevGrowth)^1249</f>
        <v>1.2514219587631017E+56</v>
      </c>
      <c r="F1251" s="4">
        <f t="shared" si="76"/>
        <v>3.7542658762893052E+56</v>
      </c>
      <c r="G1251" s="4">
        <f t="shared" si="77"/>
        <v>3.7542658762893052E+56</v>
      </c>
      <c r="H1251" s="4">
        <f>SalaryFTECount*SalaryPerFTE*(1+SalaryGrowth)^1249</f>
        <v>3.952392612829583E+26</v>
      </c>
      <c r="I1251" s="4">
        <f>SimOpsY1*(1+SimOpsGrowth)^1249</f>
        <v>1.6725990967581828E+46</v>
      </c>
      <c r="J1251" s="4">
        <f>TrainDevY1*(1+TrainDevGrowth)^1249</f>
        <v>8.362995483790914E+45</v>
      </c>
      <c r="K1251" s="4">
        <f>AdminY1*(1+AdminGrowth)^1249</f>
        <v>8.0919969678054712E+35</v>
      </c>
      <c r="L1251" s="4">
        <f t="shared" si="78"/>
        <v>2.5088986452181942E+46</v>
      </c>
      <c r="M1251" s="4">
        <f t="shared" si="79"/>
        <v>3.7542658760384153E+56</v>
      </c>
    </row>
    <row r="1252" spans="1:13" x14ac:dyDescent="0.2">
      <c r="A1252" s="3">
        <f>StartYear+1250</f>
        <v>3275</v>
      </c>
      <c r="B1252" s="4">
        <f>FacultyFTE*HoursPerWeek*WeeksPerYear*RatePerHour*(1+PracticeGrowth)^1250</f>
        <v>8.8311309612218371E+31</v>
      </c>
      <c r="C1252" s="4">
        <f>StudentsY1*(1+StudentGrowth)^1250*CreditsPerStudent*TuitionPerCredit</f>
        <v>5.5194568507636479E+32</v>
      </c>
      <c r="D1252" s="4">
        <f>SimRevY1*(1+SimGrowth)^1250</f>
        <v>2.753128309278824E+56</v>
      </c>
      <c r="E1252" s="4">
        <f>FacDevRevY1*(1+FacDevGrowth)^1250</f>
        <v>1.376564154639412E+56</v>
      </c>
      <c r="F1252" s="4">
        <f t="shared" si="76"/>
        <v>4.1296924639182358E+56</v>
      </c>
      <c r="G1252" s="4">
        <f t="shared" si="77"/>
        <v>4.1296924639182358E+56</v>
      </c>
      <c r="H1252" s="4">
        <f>SalaryFTECount*SalaryPerFTE*(1+SalaryGrowth)^1250</f>
        <v>4.1104883173427665E+26</v>
      </c>
      <c r="I1252" s="4">
        <f>SimOpsY1*(1+SimOpsGrowth)^1250</f>
        <v>1.8064070244988375E+46</v>
      </c>
      <c r="J1252" s="4">
        <f>TrainDevY1*(1+TrainDevGrowth)^1250</f>
        <v>9.0320351224941875E+45</v>
      </c>
      <c r="K1252" s="4">
        <f>AdminY1*(1+AdminGrowth)^1250</f>
        <v>8.5775167858738006E+35</v>
      </c>
      <c r="L1252" s="4">
        <f t="shared" si="78"/>
        <v>2.7096105368340317E+46</v>
      </c>
      <c r="M1252" s="4">
        <f t="shared" si="79"/>
        <v>4.1296924636472747E+56</v>
      </c>
    </row>
    <row r="1253" spans="1:13" x14ac:dyDescent="0.2">
      <c r="A1253" s="3">
        <f>StartYear+1251</f>
        <v>3276</v>
      </c>
      <c r="B1253" s="4">
        <f>FacultyFTE*HoursPerWeek*WeeksPerYear*RatePerHour*(1+PracticeGrowth)^1251</f>
        <v>9.2726875092829301E+31</v>
      </c>
      <c r="C1253" s="4">
        <f>StudentsY1*(1+StudentGrowth)^1251*CreditsPerStudent*TuitionPerCredit</f>
        <v>5.795429693301832E+32</v>
      </c>
      <c r="D1253" s="4">
        <f>SimRevY1*(1+SimGrowth)^1251</f>
        <v>3.0284411402067069E+56</v>
      </c>
      <c r="E1253" s="4">
        <f>FacDevRevY1*(1+FacDevGrowth)^1251</f>
        <v>1.5142205701033535E+56</v>
      </c>
      <c r="F1253" s="4">
        <f t="shared" si="76"/>
        <v>4.5426617103100606E+56</v>
      </c>
      <c r="G1253" s="4">
        <f t="shared" si="77"/>
        <v>4.5426617103100606E+56</v>
      </c>
      <c r="H1253" s="4">
        <f>SalaryFTECount*SalaryPerFTE*(1+SalaryGrowth)^1251</f>
        <v>4.2749078500364772E+26</v>
      </c>
      <c r="I1253" s="4">
        <f>SimOpsY1*(1+SimOpsGrowth)^1251</f>
        <v>1.950919586458745E+46</v>
      </c>
      <c r="J1253" s="4">
        <f>TrainDevY1*(1+TrainDevGrowth)^1251</f>
        <v>9.7545979322937251E+45</v>
      </c>
      <c r="K1253" s="4">
        <f>AdminY1*(1+AdminGrowth)^1251</f>
        <v>9.0921677930262285E+35</v>
      </c>
      <c r="L1253" s="4">
        <f t="shared" si="78"/>
        <v>2.9263793797790388E+46</v>
      </c>
      <c r="M1253" s="4">
        <f t="shared" si="79"/>
        <v>4.5426617100174226E+56</v>
      </c>
    </row>
    <row r="1254" spans="1:13" x14ac:dyDescent="0.2">
      <c r="A1254" s="3">
        <f>StartYear+1252</f>
        <v>3277</v>
      </c>
      <c r="B1254" s="4">
        <f>FacultyFTE*HoursPerWeek*WeeksPerYear*RatePerHour*(1+PracticeGrowth)^1252</f>
        <v>9.7363218847470747E+31</v>
      </c>
      <c r="C1254" s="4">
        <f>StudentsY1*(1+StudentGrowth)^1252*CreditsPerStudent*TuitionPerCredit</f>
        <v>6.085201177966922E+32</v>
      </c>
      <c r="D1254" s="4">
        <f>SimRevY1*(1+SimGrowth)^1252</f>
        <v>3.3312852542273777E+56</v>
      </c>
      <c r="E1254" s="4">
        <f>FacDevRevY1*(1+FacDevGrowth)^1252</f>
        <v>1.6656426271136888E+56</v>
      </c>
      <c r="F1254" s="4">
        <f t="shared" si="76"/>
        <v>4.9969278813410661E+56</v>
      </c>
      <c r="G1254" s="4">
        <f t="shared" si="77"/>
        <v>4.9969278813410661E+56</v>
      </c>
      <c r="H1254" s="4">
        <f>SalaryFTECount*SalaryPerFTE*(1+SalaryGrowth)^1252</f>
        <v>4.4459041640379368E+26</v>
      </c>
      <c r="I1254" s="4">
        <f>SimOpsY1*(1+SimOpsGrowth)^1252</f>
        <v>2.1069931533754449E+46</v>
      </c>
      <c r="J1254" s="4">
        <f>TrainDevY1*(1+TrainDevGrowth)^1252</f>
        <v>1.0534965766877224E+46</v>
      </c>
      <c r="K1254" s="4">
        <f>AdminY1*(1+AdminGrowth)^1252</f>
        <v>9.637697860607806E+35</v>
      </c>
      <c r="L1254" s="4">
        <f t="shared" si="78"/>
        <v>3.1604897301595445E+46</v>
      </c>
      <c r="M1254" s="4">
        <f t="shared" si="79"/>
        <v>4.9969278810250175E+56</v>
      </c>
    </row>
    <row r="1255" spans="1:13" x14ac:dyDescent="0.2">
      <c r="A1255" s="3">
        <f>StartYear+1253</f>
        <v>3278</v>
      </c>
      <c r="B1255" s="4">
        <f>FacultyFTE*HoursPerWeek*WeeksPerYear*RatePerHour*(1+PracticeGrowth)^1253</f>
        <v>1.022313797898443E+32</v>
      </c>
      <c r="C1255" s="4">
        <f>StudentsY1*(1+StudentGrowth)^1253*CreditsPerStudent*TuitionPerCredit</f>
        <v>6.3894612368652684E+32</v>
      </c>
      <c r="D1255" s="4">
        <f>SimRevY1*(1+SimGrowth)^1253</f>
        <v>3.664413779650116E+56</v>
      </c>
      <c r="E1255" s="4">
        <f>FacDevRevY1*(1+FacDevGrowth)^1253</f>
        <v>1.832206889825058E+56</v>
      </c>
      <c r="F1255" s="4">
        <f t="shared" si="76"/>
        <v>5.4966206694751737E+56</v>
      </c>
      <c r="G1255" s="4">
        <f t="shared" si="77"/>
        <v>5.4966206694751737E+56</v>
      </c>
      <c r="H1255" s="4">
        <f>SalaryFTECount*SalaryPerFTE*(1+SalaryGrowth)^1253</f>
        <v>4.6237403305994549E+26</v>
      </c>
      <c r="I1255" s="4">
        <f>SimOpsY1*(1+SimOpsGrowth)^1253</f>
        <v>2.2755526056454799E+46</v>
      </c>
      <c r="J1255" s="4">
        <f>TrainDevY1*(1+TrainDevGrowth)^1253</f>
        <v>1.13777630282274E+46</v>
      </c>
      <c r="K1255" s="4">
        <f>AdminY1*(1+AdminGrowth)^1253</f>
        <v>1.0215959732244272E+36</v>
      </c>
      <c r="L1255" s="4">
        <f t="shared" si="78"/>
        <v>3.4133289085703792E+46</v>
      </c>
      <c r="M1255" s="4">
        <f t="shared" si="79"/>
        <v>5.4966206691338408E+56</v>
      </c>
    </row>
    <row r="1256" spans="1:13" x14ac:dyDescent="0.2">
      <c r="A1256" s="3">
        <f>StartYear+1254</f>
        <v>3279</v>
      </c>
      <c r="B1256" s="4">
        <f>FacultyFTE*HoursPerWeek*WeeksPerYear*RatePerHour*(1+PracticeGrowth)^1254</f>
        <v>1.073429487793365E+32</v>
      </c>
      <c r="C1256" s="4">
        <f>StudentsY1*(1+StudentGrowth)^1254*CreditsPerStudent*TuitionPerCredit</f>
        <v>6.7089342987085307E+32</v>
      </c>
      <c r="D1256" s="4">
        <f>SimRevY1*(1+SimGrowth)^1254</f>
        <v>4.0308551576151268E+56</v>
      </c>
      <c r="E1256" s="4">
        <f>FacDevRevY1*(1+FacDevGrowth)^1254</f>
        <v>2.0154275788075634E+56</v>
      </c>
      <c r="F1256" s="4">
        <f t="shared" si="76"/>
        <v>6.0462827364226903E+56</v>
      </c>
      <c r="G1256" s="4">
        <f t="shared" si="77"/>
        <v>6.0462827364226903E+56</v>
      </c>
      <c r="H1256" s="4">
        <f>SalaryFTECount*SalaryPerFTE*(1+SalaryGrowth)^1254</f>
        <v>4.8086899438234319E+26</v>
      </c>
      <c r="I1256" s="4">
        <f>SimOpsY1*(1+SimOpsGrowth)^1254</f>
        <v>2.457596814097119E+46</v>
      </c>
      <c r="J1256" s="4">
        <f>TrainDevY1*(1+TrainDevGrowth)^1254</f>
        <v>1.2287984070485595E+46</v>
      </c>
      <c r="K1256" s="4">
        <f>AdminY1*(1+AdminGrowth)^1254</f>
        <v>1.082891731617893E+36</v>
      </c>
      <c r="L1256" s="4">
        <f t="shared" si="78"/>
        <v>3.6863952212539679E+46</v>
      </c>
      <c r="M1256" s="4">
        <f t="shared" si="79"/>
        <v>6.0462827360540511E+56</v>
      </c>
    </row>
    <row r="1257" spans="1:13" x14ac:dyDescent="0.2">
      <c r="A1257" s="3">
        <f>StartYear+1255</f>
        <v>3280</v>
      </c>
      <c r="B1257" s="4">
        <f>FacultyFTE*HoursPerWeek*WeeksPerYear*RatePerHour*(1+PracticeGrowth)^1255</f>
        <v>1.1271009621830335E+32</v>
      </c>
      <c r="C1257" s="4">
        <f>StudentsY1*(1+StudentGrowth)^1255*CreditsPerStudent*TuitionPerCredit</f>
        <v>7.0443810136439591E+32</v>
      </c>
      <c r="D1257" s="4">
        <f>SimRevY1*(1+SimGrowth)^1255</f>
        <v>4.4339406733766406E+56</v>
      </c>
      <c r="E1257" s="4">
        <f>FacDevRevY1*(1+FacDevGrowth)^1255</f>
        <v>2.2169703366883203E+56</v>
      </c>
      <c r="F1257" s="4">
        <f t="shared" si="76"/>
        <v>6.6509110100649608E+56</v>
      </c>
      <c r="G1257" s="4">
        <f t="shared" si="77"/>
        <v>6.6509110100649608E+56</v>
      </c>
      <c r="H1257" s="4">
        <f>SalaryFTECount*SalaryPerFTE*(1+SalaryGrowth)^1255</f>
        <v>5.0010375415763699E+26</v>
      </c>
      <c r="I1257" s="4">
        <f>SimOpsY1*(1+SimOpsGrowth)^1255</f>
        <v>2.6542045592248888E+46</v>
      </c>
      <c r="J1257" s="4">
        <f>TrainDevY1*(1+TrainDevGrowth)^1255</f>
        <v>1.3271022796124444E+46</v>
      </c>
      <c r="K1257" s="4">
        <f>AdminY1*(1+AdminGrowth)^1255</f>
        <v>1.1478652355149669E+36</v>
      </c>
      <c r="L1257" s="4">
        <f t="shared" si="78"/>
        <v>3.9813068389521199E+46</v>
      </c>
      <c r="M1257" s="4">
        <f t="shared" si="79"/>
        <v>6.6509110096668298E+56</v>
      </c>
    </row>
    <row r="1258" spans="1:13" x14ac:dyDescent="0.2">
      <c r="A1258" s="3">
        <f>StartYear+1256</f>
        <v>3281</v>
      </c>
      <c r="B1258" s="4">
        <f>FacultyFTE*HoursPerWeek*WeeksPerYear*RatePerHour*(1+PracticeGrowth)^1256</f>
        <v>1.183456010292185E+32</v>
      </c>
      <c r="C1258" s="4">
        <f>StudentsY1*(1+StudentGrowth)^1256*CreditsPerStudent*TuitionPerCredit</f>
        <v>7.3966000643261564E+32</v>
      </c>
      <c r="D1258" s="4">
        <f>SimRevY1*(1+SimGrowth)^1256</f>
        <v>4.8773347407143057E+56</v>
      </c>
      <c r="E1258" s="4">
        <f>FacDevRevY1*(1+FacDevGrowth)^1256</f>
        <v>2.4386673703571528E+56</v>
      </c>
      <c r="F1258" s="4">
        <f t="shared" si="76"/>
        <v>7.3160021110714589E+56</v>
      </c>
      <c r="G1258" s="4">
        <f t="shared" si="77"/>
        <v>7.3160021110714589E+56</v>
      </c>
      <c r="H1258" s="4">
        <f>SalaryFTECount*SalaryPerFTE*(1+SalaryGrowth)^1256</f>
        <v>5.2010790432394268E+26</v>
      </c>
      <c r="I1258" s="4">
        <f>SimOpsY1*(1+SimOpsGrowth)^1256</f>
        <v>2.8665409239628796E+46</v>
      </c>
      <c r="J1258" s="4">
        <f>TrainDevY1*(1+TrainDevGrowth)^1256</f>
        <v>1.4332704619814398E+46</v>
      </c>
      <c r="K1258" s="4">
        <f>AdminY1*(1+AdminGrowth)^1256</f>
        <v>1.2167371496458646E+36</v>
      </c>
      <c r="L1258" s="4">
        <f t="shared" si="78"/>
        <v>4.2998113860659931E+46</v>
      </c>
      <c r="M1258" s="4">
        <f t="shared" si="79"/>
        <v>7.3160021106414779E+56</v>
      </c>
    </row>
    <row r="1259" spans="1:13" x14ac:dyDescent="0.2">
      <c r="A1259" s="3">
        <f>StartYear+1257</f>
        <v>3282</v>
      </c>
      <c r="B1259" s="4">
        <f>FacultyFTE*HoursPerWeek*WeeksPerYear*RatePerHour*(1+PracticeGrowth)^1257</f>
        <v>1.2426288108067945E+32</v>
      </c>
      <c r="C1259" s="4">
        <f>StudentsY1*(1+StudentGrowth)^1257*CreditsPerStudent*TuitionPerCredit</f>
        <v>7.7664300675424658E+32</v>
      </c>
      <c r="D1259" s="4">
        <f>SimRevY1*(1+SimGrowth)^1257</f>
        <v>5.3650682147857361E+56</v>
      </c>
      <c r="E1259" s="4">
        <f>FacDevRevY1*(1+FacDevGrowth)^1257</f>
        <v>2.6825341073928681E+56</v>
      </c>
      <c r="F1259" s="4">
        <f t="shared" si="76"/>
        <v>8.0476023221786047E+56</v>
      </c>
      <c r="G1259" s="4">
        <f t="shared" si="77"/>
        <v>8.0476023221786047E+56</v>
      </c>
      <c r="H1259" s="4">
        <f>SalaryFTECount*SalaryPerFTE*(1+SalaryGrowth)^1257</f>
        <v>5.4091222049690024E+26</v>
      </c>
      <c r="I1259" s="4">
        <f>SimOpsY1*(1+SimOpsGrowth)^1257</f>
        <v>3.0958641978799102E+46</v>
      </c>
      <c r="J1259" s="4">
        <f>TrainDevY1*(1+TrainDevGrowth)^1257</f>
        <v>1.5479320989399551E+46</v>
      </c>
      <c r="K1259" s="4">
        <f>AdminY1*(1+AdminGrowth)^1257</f>
        <v>1.2897413786246165E+36</v>
      </c>
      <c r="L1259" s="4">
        <f t="shared" si="78"/>
        <v>4.6437962969488394E+46</v>
      </c>
      <c r="M1259" s="4">
        <f t="shared" si="79"/>
        <v>8.0476023217142247E+56</v>
      </c>
    </row>
    <row r="1260" spans="1:13" x14ac:dyDescent="0.2">
      <c r="A1260" s="3">
        <f>StartYear+1258</f>
        <v>3283</v>
      </c>
      <c r="B1260" s="4">
        <f>FacultyFTE*HoursPerWeek*WeeksPerYear*RatePerHour*(1+PracticeGrowth)^1258</f>
        <v>1.3047602513471342E+32</v>
      </c>
      <c r="C1260" s="4">
        <f>StudentsY1*(1+StudentGrowth)^1258*CreditsPerStudent*TuitionPerCredit</f>
        <v>8.1547515709195875E+32</v>
      </c>
      <c r="D1260" s="4">
        <f>SimRevY1*(1+SimGrowth)^1258</f>
        <v>5.9015750362643095E+56</v>
      </c>
      <c r="E1260" s="4">
        <f>FacDevRevY1*(1+FacDevGrowth)^1258</f>
        <v>2.9507875181321547E+56</v>
      </c>
      <c r="F1260" s="4">
        <f t="shared" si="76"/>
        <v>8.8523625543964642E+56</v>
      </c>
      <c r="G1260" s="4">
        <f t="shared" si="77"/>
        <v>8.8523625543964642E+56</v>
      </c>
      <c r="H1260" s="4">
        <f>SalaryFTECount*SalaryPerFTE*(1+SalaryGrowth)^1258</f>
        <v>5.6254870931677626E+26</v>
      </c>
      <c r="I1260" s="4">
        <f>SimOpsY1*(1+SimOpsGrowth)^1258</f>
        <v>3.3435333337103028E+46</v>
      </c>
      <c r="J1260" s="4">
        <f>TrainDevY1*(1+TrainDevGrowth)^1258</f>
        <v>1.6717666668551514E+46</v>
      </c>
      <c r="K1260" s="4">
        <f>AdminY1*(1+AdminGrowth)^1258</f>
        <v>1.3671258613420936E+36</v>
      </c>
      <c r="L1260" s="4">
        <f t="shared" si="78"/>
        <v>5.0153000007021662E+46</v>
      </c>
      <c r="M1260" s="4">
        <f t="shared" si="79"/>
        <v>8.8523625538949344E+56</v>
      </c>
    </row>
    <row r="1261" spans="1:13" x14ac:dyDescent="0.2">
      <c r="A1261" s="3">
        <f>StartYear+1259</f>
        <v>3284</v>
      </c>
      <c r="B1261" s="4">
        <f>FacultyFTE*HoursPerWeek*WeeksPerYear*RatePerHour*(1+PracticeGrowth)^1259</f>
        <v>1.369998263914491E+32</v>
      </c>
      <c r="C1261" s="4">
        <f>StudentsY1*(1+StudentGrowth)^1259*CreditsPerStudent*TuitionPerCredit</f>
        <v>8.5624891494655682E+32</v>
      </c>
      <c r="D1261" s="4">
        <f>SimRevY1*(1+SimGrowth)^1259</f>
        <v>6.4917325398907406E+56</v>
      </c>
      <c r="E1261" s="4">
        <f>FacDevRevY1*(1+FacDevGrowth)^1259</f>
        <v>3.2458662699453703E+56</v>
      </c>
      <c r="F1261" s="4">
        <f t="shared" si="76"/>
        <v>9.7375988098361114E+56</v>
      </c>
      <c r="G1261" s="4">
        <f t="shared" si="77"/>
        <v>9.7375988098361114E+56</v>
      </c>
      <c r="H1261" s="4">
        <f>SalaryFTECount*SalaryPerFTE*(1+SalaryGrowth)^1259</f>
        <v>5.8505065768944734E+26</v>
      </c>
      <c r="I1261" s="4">
        <f>SimOpsY1*(1+SimOpsGrowth)^1259</f>
        <v>3.6110160004071268E+46</v>
      </c>
      <c r="J1261" s="4">
        <f>TrainDevY1*(1+TrainDevGrowth)^1259</f>
        <v>1.8055080002035634E+46</v>
      </c>
      <c r="K1261" s="4">
        <f>AdminY1*(1+AdminGrowth)^1259</f>
        <v>1.4491534130226195E+36</v>
      </c>
      <c r="L1261" s="4">
        <f t="shared" si="78"/>
        <v>5.4165240007556063E+46</v>
      </c>
      <c r="M1261" s="4">
        <f t="shared" si="79"/>
        <v>9.7375988092944594E+56</v>
      </c>
    </row>
    <row r="1262" spans="1:13" x14ac:dyDescent="0.2">
      <c r="A1262" s="3">
        <f>StartYear+1260</f>
        <v>3285</v>
      </c>
      <c r="B1262" s="4">
        <f>FacultyFTE*HoursPerWeek*WeeksPerYear*RatePerHour*(1+PracticeGrowth)^1260</f>
        <v>1.4384981771102153E+32</v>
      </c>
      <c r="C1262" s="4">
        <f>StudentsY1*(1+StudentGrowth)^1260*CreditsPerStudent*TuitionPerCredit</f>
        <v>8.9906136069388465E+32</v>
      </c>
      <c r="D1262" s="4">
        <f>SimRevY1*(1+SimGrowth)^1260</f>
        <v>7.1409057938798162E+56</v>
      </c>
      <c r="E1262" s="4">
        <f>FacDevRevY1*(1+FacDevGrowth)^1260</f>
        <v>3.5704528969399081E+56</v>
      </c>
      <c r="F1262" s="4">
        <f t="shared" si="76"/>
        <v>1.0711358690819725E+57</v>
      </c>
      <c r="G1262" s="4">
        <f t="shared" si="77"/>
        <v>1.0711358690819725E+57</v>
      </c>
      <c r="H1262" s="4">
        <f>SalaryFTECount*SalaryPerFTE*(1+SalaryGrowth)^1260</f>
        <v>6.0845268399702535E+26</v>
      </c>
      <c r="I1262" s="4">
        <f>SimOpsY1*(1+SimOpsGrowth)^1260</f>
        <v>3.8998972804396976E+46</v>
      </c>
      <c r="J1262" s="4">
        <f>TrainDevY1*(1+TrainDevGrowth)^1260</f>
        <v>1.9499486402198488E+46</v>
      </c>
      <c r="K1262" s="4">
        <f>AdminY1*(1+AdminGrowth)^1260</f>
        <v>1.5361026178039767E+36</v>
      </c>
      <c r="L1262" s="4">
        <f t="shared" si="78"/>
        <v>5.849845920813156E+46</v>
      </c>
      <c r="M1262" s="4">
        <f t="shared" si="79"/>
        <v>1.071135869023474E+57</v>
      </c>
    </row>
    <row r="1263" spans="1:13" x14ac:dyDescent="0.2">
      <c r="A1263" s="3">
        <f>StartYear+1261</f>
        <v>3286</v>
      </c>
      <c r="B1263" s="4">
        <f>FacultyFTE*HoursPerWeek*WeeksPerYear*RatePerHour*(1+PracticeGrowth)^1261</f>
        <v>1.5104230859657264E+32</v>
      </c>
      <c r="C1263" s="4">
        <f>StudentsY1*(1+StudentGrowth)^1261*CreditsPerStudent*TuitionPerCredit</f>
        <v>9.4401442872857907E+32</v>
      </c>
      <c r="D1263" s="4">
        <f>SimRevY1*(1+SimGrowth)^1261</f>
        <v>7.854996373267798E+56</v>
      </c>
      <c r="E1263" s="4">
        <f>FacDevRevY1*(1+FacDevGrowth)^1261</f>
        <v>3.927498186633899E+56</v>
      </c>
      <c r="F1263" s="4">
        <f t="shared" si="76"/>
        <v>1.1782494559901697E+57</v>
      </c>
      <c r="G1263" s="4">
        <f t="shared" si="77"/>
        <v>1.1782494559901697E+57</v>
      </c>
      <c r="H1263" s="4">
        <f>SalaryFTECount*SalaryPerFTE*(1+SalaryGrowth)^1261</f>
        <v>6.327907913569063E+26</v>
      </c>
      <c r="I1263" s="4">
        <f>SimOpsY1*(1+SimOpsGrowth)^1261</f>
        <v>4.2118890628748732E+46</v>
      </c>
      <c r="J1263" s="4">
        <f>TrainDevY1*(1+TrainDevGrowth)^1261</f>
        <v>2.1059445314374366E+46</v>
      </c>
      <c r="K1263" s="4">
        <f>AdminY1*(1+AdminGrowth)^1261</f>
        <v>1.6282687748722154E+36</v>
      </c>
      <c r="L1263" s="4">
        <f t="shared" si="78"/>
        <v>6.3178335944751368E+46</v>
      </c>
      <c r="M1263" s="4">
        <f t="shared" si="79"/>
        <v>1.1782494559269913E+57</v>
      </c>
    </row>
    <row r="1264" spans="1:13" x14ac:dyDescent="0.2">
      <c r="A1264" s="3">
        <f>StartYear+1262</f>
        <v>3287</v>
      </c>
      <c r="B1264" s="4">
        <f>FacultyFTE*HoursPerWeek*WeeksPerYear*RatePerHour*(1+PracticeGrowth)^1262</f>
        <v>1.5859442402640122E+32</v>
      </c>
      <c r="C1264" s="4">
        <f>StudentsY1*(1+StudentGrowth)^1262*CreditsPerStudent*TuitionPerCredit</f>
        <v>9.9121515016500772E+32</v>
      </c>
      <c r="D1264" s="4">
        <f>SimRevY1*(1+SimGrowth)^1262</f>
        <v>8.6404960105945802E+56</v>
      </c>
      <c r="E1264" s="4">
        <f>FacDevRevY1*(1+FacDevGrowth)^1262</f>
        <v>4.3202480052972901E+56</v>
      </c>
      <c r="F1264" s="4">
        <f t="shared" si="76"/>
        <v>1.296074401589187E+57</v>
      </c>
      <c r="G1264" s="4">
        <f t="shared" si="77"/>
        <v>1.296074401589187E+57</v>
      </c>
      <c r="H1264" s="4">
        <f>SalaryFTECount*SalaryPerFTE*(1+SalaryGrowth)^1262</f>
        <v>6.5810242301118262E+26</v>
      </c>
      <c r="I1264" s="4">
        <f>SimOpsY1*(1+SimOpsGrowth)^1262</f>
        <v>4.5488401879048634E+46</v>
      </c>
      <c r="J1264" s="4">
        <f>TrainDevY1*(1+TrainDevGrowth)^1262</f>
        <v>2.2744200939524317E+46</v>
      </c>
      <c r="K1264" s="4">
        <f>AdminY1*(1+AdminGrowth)^1262</f>
        <v>1.7259649013645484E+36</v>
      </c>
      <c r="L1264" s="4">
        <f t="shared" si="78"/>
        <v>6.8232602820298908E+46</v>
      </c>
      <c r="M1264" s="4">
        <f t="shared" si="79"/>
        <v>1.2960744015209544E+57</v>
      </c>
    </row>
    <row r="1265" spans="1:13" x14ac:dyDescent="0.2">
      <c r="A1265" s="3">
        <f>StartYear+1263</f>
        <v>3288</v>
      </c>
      <c r="B1265" s="4">
        <f>FacultyFTE*HoursPerWeek*WeeksPerYear*RatePerHour*(1+PracticeGrowth)^1263</f>
        <v>1.6652414522772133E+32</v>
      </c>
      <c r="C1265" s="4">
        <f>StudentsY1*(1+StudentGrowth)^1263*CreditsPerStudent*TuitionPerCredit</f>
        <v>1.0407759076732584E+33</v>
      </c>
      <c r="D1265" s="4">
        <f>SimRevY1*(1+SimGrowth)^1263</f>
        <v>9.5045456116540372E+56</v>
      </c>
      <c r="E1265" s="4">
        <f>FacDevRevY1*(1+FacDevGrowth)^1263</f>
        <v>4.7522728058270186E+56</v>
      </c>
      <c r="F1265" s="4">
        <f t="shared" si="76"/>
        <v>1.4256818417481056E+57</v>
      </c>
      <c r="G1265" s="4">
        <f t="shared" si="77"/>
        <v>1.4256818417481056E+57</v>
      </c>
      <c r="H1265" s="4">
        <f>SalaryFTECount*SalaryPerFTE*(1+SalaryGrowth)^1263</f>
        <v>6.8442651993162992E+26</v>
      </c>
      <c r="I1265" s="4">
        <f>SimOpsY1*(1+SimOpsGrowth)^1263</f>
        <v>4.9127474029372537E+46</v>
      </c>
      <c r="J1265" s="4">
        <f>TrainDevY1*(1+TrainDevGrowth)^1263</f>
        <v>2.4563737014686269E+46</v>
      </c>
      <c r="K1265" s="4">
        <f>AdminY1*(1+AdminGrowth)^1263</f>
        <v>1.8295227954464217E+36</v>
      </c>
      <c r="L1265" s="4">
        <f t="shared" si="78"/>
        <v>7.3691211045888325E+46</v>
      </c>
      <c r="M1265" s="4">
        <f t="shared" si="79"/>
        <v>1.4256818416744143E+57</v>
      </c>
    </row>
    <row r="1266" spans="1:13" x14ac:dyDescent="0.2">
      <c r="A1266" s="3">
        <f>StartYear+1264</f>
        <v>3289</v>
      </c>
      <c r="B1266" s="4">
        <f>FacultyFTE*HoursPerWeek*WeeksPerYear*RatePerHour*(1+PracticeGrowth)^1264</f>
        <v>1.7485035248910741E+32</v>
      </c>
      <c r="C1266" s="4">
        <f>StudentsY1*(1+StudentGrowth)^1264*CreditsPerStudent*TuitionPerCredit</f>
        <v>1.0928147030569213E+33</v>
      </c>
      <c r="D1266" s="4">
        <f>SimRevY1*(1+SimGrowth)^1264</f>
        <v>1.0455000172819442E+57</v>
      </c>
      <c r="E1266" s="4">
        <f>FacDevRevY1*(1+FacDevGrowth)^1264</f>
        <v>5.2275000864097208E+56</v>
      </c>
      <c r="F1266" s="4">
        <f t="shared" si="76"/>
        <v>1.5682500259229163E+57</v>
      </c>
      <c r="G1266" s="4">
        <f t="shared" si="77"/>
        <v>1.5682500259229163E+57</v>
      </c>
      <c r="H1266" s="4">
        <f>SalaryFTECount*SalaryPerFTE*(1+SalaryGrowth)^1264</f>
        <v>7.1180358072889521E+26</v>
      </c>
      <c r="I1266" s="4">
        <f>SimOpsY1*(1+SimOpsGrowth)^1264</f>
        <v>5.3057671951722343E+46</v>
      </c>
      <c r="J1266" s="4">
        <f>TrainDevY1*(1+TrainDevGrowth)^1264</f>
        <v>2.6528835975861172E+46</v>
      </c>
      <c r="K1266" s="4">
        <f>AdminY1*(1+AdminGrowth)^1264</f>
        <v>1.9392941631732066E+36</v>
      </c>
      <c r="L1266" s="4">
        <f t="shared" si="78"/>
        <v>7.9586507929522813E+46</v>
      </c>
      <c r="M1266" s="4">
        <f t="shared" si="79"/>
        <v>1.5682500258433298E+57</v>
      </c>
    </row>
    <row r="1267" spans="1:13" x14ac:dyDescent="0.2">
      <c r="A1267" s="3">
        <f>StartYear+1265</f>
        <v>3290</v>
      </c>
      <c r="B1267" s="4">
        <f>FacultyFTE*HoursPerWeek*WeeksPerYear*RatePerHour*(1+PracticeGrowth)^1265</f>
        <v>1.835928701135628E+32</v>
      </c>
      <c r="C1267" s="4">
        <f>StudentsY1*(1+StudentGrowth)^1265*CreditsPerStudent*TuitionPerCredit</f>
        <v>1.1474554382097676E+33</v>
      </c>
      <c r="D1267" s="4">
        <f>SimRevY1*(1+SimGrowth)^1265</f>
        <v>1.1500500190101385E+57</v>
      </c>
      <c r="E1267" s="4">
        <f>FacDevRevY1*(1+FacDevGrowth)^1265</f>
        <v>5.7502500950506926E+56</v>
      </c>
      <c r="F1267" s="4">
        <f t="shared" si="76"/>
        <v>1.7250750285152078E+57</v>
      </c>
      <c r="G1267" s="4">
        <f t="shared" si="77"/>
        <v>1.7250750285152078E+57</v>
      </c>
      <c r="H1267" s="4">
        <f>SalaryFTECount*SalaryPerFTE*(1+SalaryGrowth)^1265</f>
        <v>7.4027572395805098E+26</v>
      </c>
      <c r="I1267" s="4">
        <f>SimOpsY1*(1+SimOpsGrowth)^1265</f>
        <v>5.7302285707860123E+46</v>
      </c>
      <c r="J1267" s="4">
        <f>TrainDevY1*(1+TrainDevGrowth)^1265</f>
        <v>2.8651142853930062E+46</v>
      </c>
      <c r="K1267" s="4">
        <f>AdminY1*(1+AdminGrowth)^1265</f>
        <v>2.055651812963599E+36</v>
      </c>
      <c r="L1267" s="4">
        <f t="shared" si="78"/>
        <v>8.5953428563845837E+46</v>
      </c>
      <c r="M1267" s="4">
        <f t="shared" si="79"/>
        <v>1.7250750284292544E+57</v>
      </c>
    </row>
    <row r="1268" spans="1:13" x14ac:dyDescent="0.2">
      <c r="A1268" s="3">
        <f>StartYear+1266</f>
        <v>3291</v>
      </c>
      <c r="B1268" s="4">
        <f>FacultyFTE*HoursPerWeek*WeeksPerYear*RatePerHour*(1+PracticeGrowth)^1266</f>
        <v>1.9277251361924092E+32</v>
      </c>
      <c r="C1268" s="4">
        <f>StudentsY1*(1+StudentGrowth)^1266*CreditsPerStudent*TuitionPerCredit</f>
        <v>1.2048282101202558E+33</v>
      </c>
      <c r="D1268" s="4">
        <f>SimRevY1*(1+SimGrowth)^1266</f>
        <v>1.2650550209111526E+57</v>
      </c>
      <c r="E1268" s="4">
        <f>FacDevRevY1*(1+FacDevGrowth)^1266</f>
        <v>6.3252751045557631E+56</v>
      </c>
      <c r="F1268" s="4">
        <f t="shared" si="76"/>
        <v>1.897582531366729E+57</v>
      </c>
      <c r="G1268" s="4">
        <f t="shared" si="77"/>
        <v>1.897582531366729E+57</v>
      </c>
      <c r="H1268" s="4">
        <f>SalaryFTECount*SalaryPerFTE*(1+SalaryGrowth)^1266</f>
        <v>7.6988675291637327E+26</v>
      </c>
      <c r="I1268" s="4">
        <f>SimOpsY1*(1+SimOpsGrowth)^1266</f>
        <v>6.1886468564488945E+46</v>
      </c>
      <c r="J1268" s="4">
        <f>TrainDevY1*(1+TrainDevGrowth)^1266</f>
        <v>3.0943234282244472E+46</v>
      </c>
      <c r="K1268" s="4">
        <f>AdminY1*(1+AdminGrowth)^1266</f>
        <v>2.178990921741415E+36</v>
      </c>
      <c r="L1268" s="4">
        <f t="shared" si="78"/>
        <v>9.2829702848912422E+46</v>
      </c>
      <c r="M1268" s="4">
        <f t="shared" si="79"/>
        <v>1.8975825312738994E+57</v>
      </c>
    </row>
    <row r="1269" spans="1:13" x14ac:dyDescent="0.2">
      <c r="A1269" s="3">
        <f>StartYear+1267</f>
        <v>3292</v>
      </c>
      <c r="B1269" s="4">
        <f>FacultyFTE*HoursPerWeek*WeeksPerYear*RatePerHour*(1+PracticeGrowth)^1267</f>
        <v>2.0241113930020294E+32</v>
      </c>
      <c r="C1269" s="4">
        <f>StudentsY1*(1+StudentGrowth)^1267*CreditsPerStudent*TuitionPerCredit</f>
        <v>1.2650696206262686E+33</v>
      </c>
      <c r="D1269" s="4">
        <f>SimRevY1*(1+SimGrowth)^1267</f>
        <v>1.3915605230022678E+57</v>
      </c>
      <c r="E1269" s="4">
        <f>FacDevRevY1*(1+FacDevGrowth)^1267</f>
        <v>6.9578026150113391E+56</v>
      </c>
      <c r="F1269" s="4">
        <f t="shared" si="76"/>
        <v>2.0873407845034017E+57</v>
      </c>
      <c r="G1269" s="4">
        <f t="shared" si="77"/>
        <v>2.0873407845034017E+57</v>
      </c>
      <c r="H1269" s="4">
        <f>SalaryFTECount*SalaryPerFTE*(1+SalaryGrowth)^1267</f>
        <v>8.0068222303302798E+26</v>
      </c>
      <c r="I1269" s="4">
        <f>SimOpsY1*(1+SimOpsGrowth)^1267</f>
        <v>6.6837386049648066E+46</v>
      </c>
      <c r="J1269" s="4">
        <f>TrainDevY1*(1+TrainDevGrowth)^1267</f>
        <v>3.3418693024824033E+46</v>
      </c>
      <c r="K1269" s="4">
        <f>AdminY1*(1+AdminGrowth)^1267</f>
        <v>2.3097303770458999E+36</v>
      </c>
      <c r="L1269" s="4">
        <f t="shared" si="78"/>
        <v>1.0025607907678183E+47</v>
      </c>
      <c r="M1269" s="4">
        <f t="shared" si="79"/>
        <v>2.0873407844031456E+57</v>
      </c>
    </row>
    <row r="1270" spans="1:13" x14ac:dyDescent="0.2">
      <c r="A1270" s="3">
        <f>StartYear+1268</f>
        <v>3293</v>
      </c>
      <c r="B1270" s="4">
        <f>FacultyFTE*HoursPerWeek*WeeksPerYear*RatePerHour*(1+PracticeGrowth)^1268</f>
        <v>2.1253169626521312E+32</v>
      </c>
      <c r="C1270" s="4">
        <f>StudentsY1*(1+StudentGrowth)^1268*CreditsPerStudent*TuitionPerCredit</f>
        <v>1.3283231016575821E+33</v>
      </c>
      <c r="D1270" s="4">
        <f>SimRevY1*(1+SimGrowth)^1268</f>
        <v>1.530716575302495E+57</v>
      </c>
      <c r="E1270" s="4">
        <f>FacDevRevY1*(1+FacDevGrowth)^1268</f>
        <v>7.653582876512475E+56</v>
      </c>
      <c r="F1270" s="4">
        <f t="shared" si="76"/>
        <v>2.2960748629537424E+57</v>
      </c>
      <c r="G1270" s="4">
        <f t="shared" si="77"/>
        <v>2.2960748629537424E+57</v>
      </c>
      <c r="H1270" s="4">
        <f>SalaryFTECount*SalaryPerFTE*(1+SalaryGrowth)^1268</f>
        <v>8.3270951195434926E+26</v>
      </c>
      <c r="I1270" s="4">
        <f>SimOpsY1*(1+SimOpsGrowth)^1268</f>
        <v>7.2184376933619912E+46</v>
      </c>
      <c r="J1270" s="4">
        <f>TrainDevY1*(1+TrainDevGrowth)^1268</f>
        <v>3.6092188466809956E+46</v>
      </c>
      <c r="K1270" s="4">
        <f>AdminY1*(1+AdminGrowth)^1268</f>
        <v>2.4483141996686542E+36</v>
      </c>
      <c r="L1270" s="4">
        <f t="shared" si="78"/>
        <v>1.0827656540287817E+47</v>
      </c>
      <c r="M1270" s="4">
        <f t="shared" si="79"/>
        <v>2.2960748628454657E+57</v>
      </c>
    </row>
    <row r="1271" spans="1:13" x14ac:dyDescent="0.2">
      <c r="A1271" s="3">
        <f>StartYear+1269</f>
        <v>3294</v>
      </c>
      <c r="B1271" s="4">
        <f>FacultyFTE*HoursPerWeek*WeeksPerYear*RatePerHour*(1+PracticeGrowth)^1269</f>
        <v>2.2315828107847374E+32</v>
      </c>
      <c r="C1271" s="4">
        <f>StudentsY1*(1+StudentGrowth)^1269*CreditsPerStudent*TuitionPerCredit</f>
        <v>1.3947392567404611E+33</v>
      </c>
      <c r="D1271" s="4">
        <f>SimRevY1*(1+SimGrowth)^1269</f>
        <v>1.6837882328327443E+57</v>
      </c>
      <c r="E1271" s="4">
        <f>FacDevRevY1*(1+FacDevGrowth)^1269</f>
        <v>8.4189411641637217E+56</v>
      </c>
      <c r="F1271" s="4">
        <f t="shared" si="76"/>
        <v>2.5256823492491163E+57</v>
      </c>
      <c r="G1271" s="4">
        <f t="shared" si="77"/>
        <v>2.5256823492491163E+57</v>
      </c>
      <c r="H1271" s="4">
        <f>SalaryFTECount*SalaryPerFTE*(1+SalaryGrowth)^1269</f>
        <v>8.6601789243252344E+26</v>
      </c>
      <c r="I1271" s="4">
        <f>SimOpsY1*(1+SimOpsGrowth)^1269</f>
        <v>7.7959127088309502E+46</v>
      </c>
      <c r="J1271" s="4">
        <f>TrainDevY1*(1+TrainDevGrowth)^1269</f>
        <v>3.8979563544154751E+46</v>
      </c>
      <c r="K1271" s="4">
        <f>AdminY1*(1+AdminGrowth)^1269</f>
        <v>2.5952130516487742E+36</v>
      </c>
      <c r="L1271" s="4">
        <f t="shared" si="78"/>
        <v>1.1693869063505946E+47</v>
      </c>
      <c r="M1271" s="4">
        <f t="shared" si="79"/>
        <v>2.5256823491321775E+57</v>
      </c>
    </row>
    <row r="1272" spans="1:13" x14ac:dyDescent="0.2">
      <c r="A1272" s="3">
        <f>StartYear+1270</f>
        <v>3295</v>
      </c>
      <c r="B1272" s="4">
        <f>FacultyFTE*HoursPerWeek*WeeksPerYear*RatePerHour*(1+PracticeGrowth)^1270</f>
        <v>2.3431619513239741E+32</v>
      </c>
      <c r="C1272" s="4">
        <f>StudentsY1*(1+StudentGrowth)^1270*CreditsPerStudent*TuitionPerCredit</f>
        <v>1.4644762195774838E+33</v>
      </c>
      <c r="D1272" s="4">
        <f>SimRevY1*(1+SimGrowth)^1270</f>
        <v>1.8521670561160192E+57</v>
      </c>
      <c r="E1272" s="4">
        <f>FacDevRevY1*(1+FacDevGrowth)^1270</f>
        <v>9.2608352805800961E+56</v>
      </c>
      <c r="F1272" s="4">
        <f t="shared" si="76"/>
        <v>2.778250584174029E+57</v>
      </c>
      <c r="G1272" s="4">
        <f t="shared" si="77"/>
        <v>2.778250584174029E+57</v>
      </c>
      <c r="H1272" s="4">
        <f>SalaryFTECount*SalaryPerFTE*(1+SalaryGrowth)^1270</f>
        <v>9.0065860812982423E+26</v>
      </c>
      <c r="I1272" s="4">
        <f>SimOpsY1*(1+SimOpsGrowth)^1270</f>
        <v>8.4195857255374269E+46</v>
      </c>
      <c r="J1272" s="4">
        <f>TrainDevY1*(1+TrainDevGrowth)^1270</f>
        <v>4.2097928627687134E+46</v>
      </c>
      <c r="K1272" s="4">
        <f>AdminY1*(1+AdminGrowth)^1270</f>
        <v>2.7509258347477003E+36</v>
      </c>
      <c r="L1272" s="4">
        <f t="shared" si="78"/>
        <v>1.2629378588581233E+47</v>
      </c>
      <c r="M1272" s="4">
        <f t="shared" si="79"/>
        <v>2.7782505840477354E+57</v>
      </c>
    </row>
    <row r="1273" spans="1:13" x14ac:dyDescent="0.2">
      <c r="A1273" s="3">
        <f>StartYear+1271</f>
        <v>3296</v>
      </c>
      <c r="B1273" s="4">
        <f>FacultyFTE*HoursPerWeek*WeeksPerYear*RatePerHour*(1+PracticeGrowth)^1271</f>
        <v>2.4603200488901733E+32</v>
      </c>
      <c r="C1273" s="4">
        <f>StudentsY1*(1+StudentGrowth)^1271*CreditsPerStudent*TuitionPerCredit</f>
        <v>1.5377000305563584E+33</v>
      </c>
      <c r="D1273" s="4">
        <f>SimRevY1*(1+SimGrowth)^1271</f>
        <v>2.0373837617276214E+57</v>
      </c>
      <c r="E1273" s="4">
        <f>FacDevRevY1*(1+FacDevGrowth)^1271</f>
        <v>1.0186918808638107E+57</v>
      </c>
      <c r="F1273" s="4">
        <f t="shared" si="76"/>
        <v>3.0560756425914323E+57</v>
      </c>
      <c r="G1273" s="4">
        <f t="shared" si="77"/>
        <v>3.0560756425914323E+57</v>
      </c>
      <c r="H1273" s="4">
        <f>SalaryFTECount*SalaryPerFTE*(1+SalaryGrowth)^1271</f>
        <v>9.3668495245501711E+26</v>
      </c>
      <c r="I1273" s="4">
        <f>SimOpsY1*(1+SimOpsGrowth)^1271</f>
        <v>9.0931525835804216E+46</v>
      </c>
      <c r="J1273" s="4">
        <f>TrainDevY1*(1+TrainDevGrowth)^1271</f>
        <v>4.5465762917902108E+46</v>
      </c>
      <c r="K1273" s="4">
        <f>AdminY1*(1+AdminGrowth)^1271</f>
        <v>2.915981384832563E+36</v>
      </c>
      <c r="L1273" s="4">
        <f t="shared" si="78"/>
        <v>1.3639728875662232E+47</v>
      </c>
      <c r="M1273" s="4">
        <f t="shared" si="79"/>
        <v>3.056075642455035E+57</v>
      </c>
    </row>
    <row r="1274" spans="1:13" x14ac:dyDescent="0.2">
      <c r="A1274" s="3">
        <f>StartYear+1272</f>
        <v>3297</v>
      </c>
      <c r="B1274" s="4">
        <f>FacultyFTE*HoursPerWeek*WeeksPerYear*RatePerHour*(1+PracticeGrowth)^1272</f>
        <v>2.5833360513346819E+32</v>
      </c>
      <c r="C1274" s="4">
        <f>StudentsY1*(1+StudentGrowth)^1272*CreditsPerStudent*TuitionPerCredit</f>
        <v>1.6145850320841761E+33</v>
      </c>
      <c r="D1274" s="4">
        <f>SimRevY1*(1+SimGrowth)^1272</f>
        <v>2.2411221379003827E+57</v>
      </c>
      <c r="E1274" s="4">
        <f>FacDevRevY1*(1+FacDevGrowth)^1272</f>
        <v>1.1205610689501914E+57</v>
      </c>
      <c r="F1274" s="4">
        <f t="shared" si="76"/>
        <v>3.3616832068505744E+57</v>
      </c>
      <c r="G1274" s="4">
        <f t="shared" si="77"/>
        <v>3.3616832068505744E+57</v>
      </c>
      <c r="H1274" s="4">
        <f>SalaryFTECount*SalaryPerFTE*(1+SalaryGrowth)^1272</f>
        <v>9.7415235055321767E+26</v>
      </c>
      <c r="I1274" s="4">
        <f>SimOpsY1*(1+SimOpsGrowth)^1272</f>
        <v>9.820604790266856E+46</v>
      </c>
      <c r="J1274" s="4">
        <f>TrainDevY1*(1+TrainDevGrowth)^1272</f>
        <v>4.910302395133428E+46</v>
      </c>
      <c r="K1274" s="4">
        <f>AdminY1*(1+AdminGrowth)^1272</f>
        <v>3.0909402679225161E+36</v>
      </c>
      <c r="L1274" s="4">
        <f t="shared" si="78"/>
        <v>1.4730907185709377E+47</v>
      </c>
      <c r="M1274" s="4">
        <f t="shared" si="79"/>
        <v>3.3616832067032655E+57</v>
      </c>
    </row>
    <row r="1275" spans="1:13" x14ac:dyDescent="0.2">
      <c r="A1275" s="3">
        <f>StartYear+1273</f>
        <v>3298</v>
      </c>
      <c r="B1275" s="4">
        <f>FacultyFTE*HoursPerWeek*WeeksPerYear*RatePerHour*(1+PracticeGrowth)^1273</f>
        <v>2.712502853901416E+32</v>
      </c>
      <c r="C1275" s="4">
        <f>StudentsY1*(1+StudentGrowth)^1273*CreditsPerStudent*TuitionPerCredit</f>
        <v>1.6953142836883853E+33</v>
      </c>
      <c r="D1275" s="4">
        <f>SimRevY1*(1+SimGrowth)^1273</f>
        <v>2.4652343516904223E+57</v>
      </c>
      <c r="E1275" s="4">
        <f>FacDevRevY1*(1+FacDevGrowth)^1273</f>
        <v>1.2326171758452111E+57</v>
      </c>
      <c r="F1275" s="4">
        <f t="shared" si="76"/>
        <v>3.6978515275356336E+57</v>
      </c>
      <c r="G1275" s="4">
        <f t="shared" si="77"/>
        <v>3.6978515275356336E+57</v>
      </c>
      <c r="H1275" s="4">
        <f>SalaryFTECount*SalaryPerFTE*(1+SalaryGrowth)^1273</f>
        <v>1.013118444575347E+27</v>
      </c>
      <c r="I1275" s="4">
        <f>SimOpsY1*(1+SimOpsGrowth)^1273</f>
        <v>1.0606253173488205E+47</v>
      </c>
      <c r="J1275" s="4">
        <f>TrainDevY1*(1+TrainDevGrowth)^1273</f>
        <v>5.3031265867441024E+46</v>
      </c>
      <c r="K1275" s="4">
        <f>AdminY1*(1+AdminGrowth)^1273</f>
        <v>3.2763966839978672E+36</v>
      </c>
      <c r="L1275" s="4">
        <f t="shared" si="78"/>
        <v>1.5909379760559948E+47</v>
      </c>
      <c r="M1275" s="4">
        <f t="shared" si="79"/>
        <v>3.69785152737654E+57</v>
      </c>
    </row>
    <row r="1276" spans="1:13" x14ac:dyDescent="0.2">
      <c r="A1276" s="3">
        <f>StartYear+1274</f>
        <v>3299</v>
      </c>
      <c r="B1276" s="4">
        <f>FacultyFTE*HoursPerWeek*WeeksPerYear*RatePerHour*(1+PracticeGrowth)^1274</f>
        <v>2.8481279965964872E+32</v>
      </c>
      <c r="C1276" s="4">
        <f>StudentsY1*(1+StudentGrowth)^1274*CreditsPerStudent*TuitionPerCredit</f>
        <v>1.7800799978728043E+33</v>
      </c>
      <c r="D1276" s="4">
        <f>SimRevY1*(1+SimGrowth)^1274</f>
        <v>2.7117577868594642E+57</v>
      </c>
      <c r="E1276" s="4">
        <f>FacDevRevY1*(1+FacDevGrowth)^1274</f>
        <v>1.3558788934297321E+57</v>
      </c>
      <c r="F1276" s="4">
        <f t="shared" si="76"/>
        <v>4.0676366802891964E+57</v>
      </c>
      <c r="G1276" s="4">
        <f t="shared" si="77"/>
        <v>4.0676366802891964E+57</v>
      </c>
      <c r="H1276" s="4">
        <f>SalaryFTECount*SalaryPerFTE*(1+SalaryGrowth)^1274</f>
        <v>1.0536431823583604E+27</v>
      </c>
      <c r="I1276" s="4">
        <f>SimOpsY1*(1+SimOpsGrowth)^1274</f>
        <v>1.1454753427367262E+47</v>
      </c>
      <c r="J1276" s="4">
        <f>TrainDevY1*(1+TrainDevGrowth)^1274</f>
        <v>5.7273767136836309E+46</v>
      </c>
      <c r="K1276" s="4">
        <f>AdminY1*(1+AdminGrowth)^1274</f>
        <v>3.4729804850377395E+36</v>
      </c>
      <c r="L1276" s="4">
        <f t="shared" si="78"/>
        <v>1.718213014139819E+47</v>
      </c>
      <c r="M1276" s="4">
        <f t="shared" si="79"/>
        <v>4.0676366801173755E+57</v>
      </c>
    </row>
    <row r="1277" spans="1:13" x14ac:dyDescent="0.2">
      <c r="A1277" s="3">
        <f>StartYear+1275</f>
        <v>3300</v>
      </c>
      <c r="B1277" s="4">
        <f>FacultyFTE*HoursPerWeek*WeeksPerYear*RatePerHour*(1+PracticeGrowth)^1275</f>
        <v>2.9905343964263118E+32</v>
      </c>
      <c r="C1277" s="4">
        <f>StudentsY1*(1+StudentGrowth)^1275*CreditsPerStudent*TuitionPerCredit</f>
        <v>1.8690839977664449E+33</v>
      </c>
      <c r="D1277" s="4">
        <f>SimRevY1*(1+SimGrowth)^1275</f>
        <v>2.9829335655454109E+57</v>
      </c>
      <c r="E1277" s="4">
        <f>FacDevRevY1*(1+FacDevGrowth)^1275</f>
        <v>1.4914667827727054E+57</v>
      </c>
      <c r="F1277" s="4">
        <f t="shared" si="76"/>
        <v>4.4744003483181167E+57</v>
      </c>
      <c r="G1277" s="4">
        <f t="shared" si="77"/>
        <v>4.4744003483181167E+57</v>
      </c>
      <c r="H1277" s="4">
        <f>SalaryFTECount*SalaryPerFTE*(1+SalaryGrowth)^1275</f>
        <v>1.095788909652695E+27</v>
      </c>
      <c r="I1277" s="4">
        <f>SimOpsY1*(1+SimOpsGrowth)^1275</f>
        <v>1.2371133701556642E+47</v>
      </c>
      <c r="J1277" s="4">
        <f>TrainDevY1*(1+TrainDevGrowth)^1275</f>
        <v>6.1855668507783211E+46</v>
      </c>
      <c r="K1277" s="4">
        <f>AdminY1*(1+AdminGrowth)^1275</f>
        <v>3.6813593141400043E+36</v>
      </c>
      <c r="L1277" s="4">
        <f t="shared" si="78"/>
        <v>1.85567005527031E+47</v>
      </c>
      <c r="M1277" s="4">
        <f t="shared" si="79"/>
        <v>4.4744003481325494E+57</v>
      </c>
    </row>
    <row r="1278" spans="1:13" x14ac:dyDescent="0.2">
      <c r="A1278" s="3">
        <f>StartYear+1276</f>
        <v>3301</v>
      </c>
      <c r="B1278" s="4">
        <f>FacultyFTE*HoursPerWeek*WeeksPerYear*RatePerHour*(1+PracticeGrowth)^1276</f>
        <v>3.1400611162476269E+32</v>
      </c>
      <c r="C1278" s="4">
        <f>StudentsY1*(1+StudentGrowth)^1276*CreditsPerStudent*TuitionPerCredit</f>
        <v>1.9625381976547667E+33</v>
      </c>
      <c r="D1278" s="4">
        <f>SimRevY1*(1+SimGrowth)^1276</f>
        <v>3.2812269220999515E+57</v>
      </c>
      <c r="E1278" s="4">
        <f>FacDevRevY1*(1+FacDevGrowth)^1276</f>
        <v>1.6406134610499757E+57</v>
      </c>
      <c r="F1278" s="4">
        <f t="shared" si="76"/>
        <v>4.9218403831499272E+57</v>
      </c>
      <c r="G1278" s="4">
        <f t="shared" si="77"/>
        <v>4.9218403831499272E+57</v>
      </c>
      <c r="H1278" s="4">
        <f>SalaryFTECount*SalaryPerFTE*(1+SalaryGrowth)^1276</f>
        <v>1.1396204660388031E+27</v>
      </c>
      <c r="I1278" s="4">
        <f>SimOpsY1*(1+SimOpsGrowth)^1276</f>
        <v>1.3360824397681176E+47</v>
      </c>
      <c r="J1278" s="4">
        <f>TrainDevY1*(1+TrainDevGrowth)^1276</f>
        <v>6.6804121988405878E+46</v>
      </c>
      <c r="K1278" s="4">
        <f>AdminY1*(1+AdminGrowth)^1276</f>
        <v>3.9022408729884037E+36</v>
      </c>
      <c r="L1278" s="4">
        <f t="shared" si="78"/>
        <v>2.0041236596911988E+47</v>
      </c>
      <c r="M1278" s="4">
        <f t="shared" si="79"/>
        <v>4.9218403829495146E+57</v>
      </c>
    </row>
    <row r="1279" spans="1:13" x14ac:dyDescent="0.2">
      <c r="A1279" s="3">
        <f>StartYear+1277</f>
        <v>3302</v>
      </c>
      <c r="B1279" s="4">
        <f>FacultyFTE*HoursPerWeek*WeeksPerYear*RatePerHour*(1+PracticeGrowth)^1277</f>
        <v>3.2970641720600083E+32</v>
      </c>
      <c r="C1279" s="4">
        <f>StudentsY1*(1+StudentGrowth)^1277*CreditsPerStudent*TuitionPerCredit</f>
        <v>2.0606651075375055E+33</v>
      </c>
      <c r="D1279" s="4">
        <f>SimRevY1*(1+SimGrowth)^1277</f>
        <v>3.6093496143099469E+57</v>
      </c>
      <c r="E1279" s="4">
        <f>FacDevRevY1*(1+FacDevGrowth)^1277</f>
        <v>1.8046748071549735E+57</v>
      </c>
      <c r="F1279" s="4">
        <f t="shared" si="76"/>
        <v>5.4140244214649207E+57</v>
      </c>
      <c r="G1279" s="4">
        <f t="shared" si="77"/>
        <v>5.4140244214649207E+57</v>
      </c>
      <c r="H1279" s="4">
        <f>SalaryFTECount*SalaryPerFTE*(1+SalaryGrowth)^1277</f>
        <v>1.1852052846803553E+27</v>
      </c>
      <c r="I1279" s="4">
        <f>SimOpsY1*(1+SimOpsGrowth)^1277</f>
        <v>1.4429690349495666E+47</v>
      </c>
      <c r="J1279" s="4">
        <f>TrainDevY1*(1+TrainDevGrowth)^1277</f>
        <v>7.2148451747478332E+46</v>
      </c>
      <c r="K1279" s="4">
        <f>AdminY1*(1+AdminGrowth)^1277</f>
        <v>4.1363753253677101E+36</v>
      </c>
      <c r="L1279" s="4">
        <f t="shared" si="78"/>
        <v>2.164453552465714E+47</v>
      </c>
      <c r="M1279" s="4">
        <f t="shared" si="79"/>
        <v>5.4140244212484753E+57</v>
      </c>
    </row>
    <row r="1280" spans="1:13" x14ac:dyDescent="0.2">
      <c r="A1280" s="3">
        <f>StartYear+1278</f>
        <v>3303</v>
      </c>
      <c r="B1280" s="4">
        <f>FacultyFTE*HoursPerWeek*WeeksPerYear*RatePerHour*(1+PracticeGrowth)^1278</f>
        <v>3.4619173806630071E+32</v>
      </c>
      <c r="C1280" s="4">
        <f>StudentsY1*(1+StudentGrowth)^1278*CreditsPerStudent*TuitionPerCredit</f>
        <v>2.1636983629143798E+33</v>
      </c>
      <c r="D1280" s="4">
        <f>SimRevY1*(1+SimGrowth)^1278</f>
        <v>3.9702845757409435E+57</v>
      </c>
      <c r="E1280" s="4">
        <f>FacDevRevY1*(1+FacDevGrowth)^1278</f>
        <v>1.9851422878704717E+57</v>
      </c>
      <c r="F1280" s="4">
        <f t="shared" si="76"/>
        <v>5.9554268636114149E+57</v>
      </c>
      <c r="G1280" s="4">
        <f t="shared" si="77"/>
        <v>5.9554268636114149E+57</v>
      </c>
      <c r="H1280" s="4">
        <f>SalaryFTECount*SalaryPerFTE*(1+SalaryGrowth)^1278</f>
        <v>1.2326134960675693E+27</v>
      </c>
      <c r="I1280" s="4">
        <f>SimOpsY1*(1+SimOpsGrowth)^1278</f>
        <v>1.5584065577455325E+47</v>
      </c>
      <c r="J1280" s="4">
        <f>TrainDevY1*(1+TrainDevGrowth)^1278</f>
        <v>7.7920327887276624E+46</v>
      </c>
      <c r="K1280" s="4">
        <f>AdminY1*(1+AdminGrowth)^1278</f>
        <v>4.384557844889772E+36</v>
      </c>
      <c r="L1280" s="4">
        <f t="shared" si="78"/>
        <v>2.3376098366621446E+47</v>
      </c>
      <c r="M1280" s="4">
        <f t="shared" si="79"/>
        <v>5.9554268633776536E+57</v>
      </c>
    </row>
    <row r="1281" spans="1:13" x14ac:dyDescent="0.2">
      <c r="A1281" s="3">
        <f>StartYear+1279</f>
        <v>3304</v>
      </c>
      <c r="B1281" s="4">
        <f>FacultyFTE*HoursPerWeek*WeeksPerYear*RatePerHour*(1+PracticeGrowth)^1279</f>
        <v>3.6350132496961595E+32</v>
      </c>
      <c r="C1281" s="4">
        <f>StudentsY1*(1+StudentGrowth)^1279*CreditsPerStudent*TuitionPerCredit</f>
        <v>2.2718832810600997E+33</v>
      </c>
      <c r="D1281" s="4">
        <f>SimRevY1*(1+SimGrowth)^1279</f>
        <v>4.3673130333150364E+57</v>
      </c>
      <c r="E1281" s="4">
        <f>FacDevRevY1*(1+FacDevGrowth)^1279</f>
        <v>2.1836565166575182E+57</v>
      </c>
      <c r="F1281" s="4">
        <f t="shared" si="76"/>
        <v>6.5509695499725553E+57</v>
      </c>
      <c r="G1281" s="4">
        <f t="shared" si="77"/>
        <v>6.5509695499725553E+57</v>
      </c>
      <c r="H1281" s="4">
        <f>SalaryFTECount*SalaryPerFTE*(1+SalaryGrowth)^1279</f>
        <v>1.2819180359102723E+27</v>
      </c>
      <c r="I1281" s="4">
        <f>SimOpsY1*(1+SimOpsGrowth)^1279</f>
        <v>1.6830790823651755E+47</v>
      </c>
      <c r="J1281" s="4">
        <f>TrainDevY1*(1+TrainDevGrowth)^1279</f>
        <v>8.4153954118258776E+46</v>
      </c>
      <c r="K1281" s="4">
        <f>AdminY1*(1+AdminGrowth)^1279</f>
        <v>4.6476313155831597E+36</v>
      </c>
      <c r="L1281" s="4">
        <f t="shared" si="78"/>
        <v>2.5246186235942395E+47</v>
      </c>
      <c r="M1281" s="4">
        <f t="shared" si="79"/>
        <v>6.5509695497200927E+57</v>
      </c>
    </row>
    <row r="1282" spans="1:13" x14ac:dyDescent="0.2">
      <c r="A1282" s="3">
        <f>StartYear+1280</f>
        <v>3305</v>
      </c>
      <c r="B1282" s="4">
        <f>FacultyFTE*HoursPerWeek*WeeksPerYear*RatePerHour*(1+PracticeGrowth)^1280</f>
        <v>3.8167639121809676E+32</v>
      </c>
      <c r="C1282" s="4">
        <f>StudentsY1*(1+StudentGrowth)^1280*CreditsPerStudent*TuitionPerCredit</f>
        <v>2.3854774451131047E+33</v>
      </c>
      <c r="D1282" s="4">
        <f>SimRevY1*(1+SimGrowth)^1280</f>
        <v>4.8040443366465413E+57</v>
      </c>
      <c r="E1282" s="4">
        <f>FacDevRevY1*(1+FacDevGrowth)^1280</f>
        <v>2.4020221683232706E+57</v>
      </c>
      <c r="F1282" s="4">
        <f t="shared" ref="F1282:F1345" si="80">C1282+D1282+E1282</f>
        <v>7.2060665049698119E+57</v>
      </c>
      <c r="G1282" s="4">
        <f t="shared" ref="G1282:G1345" si="81">B1282+F1282</f>
        <v>7.2060665049698119E+57</v>
      </c>
      <c r="H1282" s="4">
        <f>SalaryFTECount*SalaryPerFTE*(1+SalaryGrowth)^1280</f>
        <v>1.3331947573466834E+27</v>
      </c>
      <c r="I1282" s="4">
        <f>SimOpsY1*(1+SimOpsGrowth)^1280</f>
        <v>1.8177254089543893E+47</v>
      </c>
      <c r="J1282" s="4">
        <f>TrainDevY1*(1+TrainDevGrowth)^1280</f>
        <v>9.0886270447719466E+46</v>
      </c>
      <c r="K1282" s="4">
        <f>AdminY1*(1+AdminGrowth)^1280</f>
        <v>4.926489194518148E+36</v>
      </c>
      <c r="L1282" s="4">
        <f t="shared" ref="L1282:L1345" si="82">SUM(H1282:K1282)</f>
        <v>2.7265881134808488E+47</v>
      </c>
      <c r="M1282" s="4">
        <f t="shared" ref="M1282:M1345" si="83">G1282-L1282</f>
        <v>7.2060665046971532E+57</v>
      </c>
    </row>
    <row r="1283" spans="1:13" x14ac:dyDescent="0.2">
      <c r="A1283" s="3">
        <f>StartYear+1281</f>
        <v>3306</v>
      </c>
      <c r="B1283" s="4">
        <f>FacultyFTE*HoursPerWeek*WeeksPerYear*RatePerHour*(1+PracticeGrowth)^1281</f>
        <v>4.0076021077900151E+32</v>
      </c>
      <c r="C1283" s="4">
        <f>StudentsY1*(1+StudentGrowth)^1281*CreditsPerStudent*TuitionPerCredit</f>
        <v>2.5047513173687594E+33</v>
      </c>
      <c r="D1283" s="4">
        <f>SimRevY1*(1+SimGrowth)^1281</f>
        <v>5.2844487703111954E+57</v>
      </c>
      <c r="E1283" s="4">
        <f>FacDevRevY1*(1+FacDevGrowth)^1281</f>
        <v>2.6422243851555977E+57</v>
      </c>
      <c r="F1283" s="4">
        <f t="shared" si="80"/>
        <v>7.9266731554667931E+57</v>
      </c>
      <c r="G1283" s="4">
        <f t="shared" si="81"/>
        <v>7.9266731554667931E+57</v>
      </c>
      <c r="H1283" s="4">
        <f>SalaryFTECount*SalaryPerFTE*(1+SalaryGrowth)^1281</f>
        <v>1.3865225476405506E+27</v>
      </c>
      <c r="I1283" s="4">
        <f>SimOpsY1*(1+SimOpsGrowth)^1281</f>
        <v>1.9631434416707409E+47</v>
      </c>
      <c r="J1283" s="4">
        <f>TrainDevY1*(1+TrainDevGrowth)^1281</f>
        <v>9.8157172083537047E+46</v>
      </c>
      <c r="K1283" s="4">
        <f>AdminY1*(1+AdminGrowth)^1281</f>
        <v>5.2220785461892366E+36</v>
      </c>
      <c r="L1283" s="4">
        <f t="shared" si="82"/>
        <v>2.9447151625583321E+47</v>
      </c>
      <c r="M1283" s="4">
        <f t="shared" si="83"/>
        <v>7.9266731551723215E+57</v>
      </c>
    </row>
    <row r="1284" spans="1:13" x14ac:dyDescent="0.2">
      <c r="A1284" s="3">
        <f>StartYear+1282</f>
        <v>3307</v>
      </c>
      <c r="B1284" s="4">
        <f>FacultyFTE*HoursPerWeek*WeeksPerYear*RatePerHour*(1+PracticeGrowth)^1282</f>
        <v>4.2079822131795166E+32</v>
      </c>
      <c r="C1284" s="4">
        <f>StudentsY1*(1+StudentGrowth)^1282*CreditsPerStudent*TuitionPerCredit</f>
        <v>2.6299888832371979E+33</v>
      </c>
      <c r="D1284" s="4">
        <f>SimRevY1*(1+SimGrowth)^1282</f>
        <v>5.8128936473423148E+57</v>
      </c>
      <c r="E1284" s="4">
        <f>FacDevRevY1*(1+FacDevGrowth)^1282</f>
        <v>2.9064468236711574E+57</v>
      </c>
      <c r="F1284" s="4">
        <f t="shared" si="80"/>
        <v>8.7193404710134726E+57</v>
      </c>
      <c r="G1284" s="4">
        <f t="shared" si="81"/>
        <v>8.7193404710134726E+57</v>
      </c>
      <c r="H1284" s="4">
        <f>SalaryFTECount*SalaryPerFTE*(1+SalaryGrowth)^1282</f>
        <v>1.4419834495461728E+27</v>
      </c>
      <c r="I1284" s="4">
        <f>SimOpsY1*(1+SimOpsGrowth)^1282</f>
        <v>2.1201949170044001E+47</v>
      </c>
      <c r="J1284" s="4">
        <f>TrainDevY1*(1+TrainDevGrowth)^1282</f>
        <v>1.0600974585022E+47</v>
      </c>
      <c r="K1284" s="4">
        <f>AdminY1*(1+AdminGrowth)^1282</f>
        <v>5.5354032589605916E+36</v>
      </c>
      <c r="L1284" s="4">
        <f t="shared" si="82"/>
        <v>3.1802923755619541E+47</v>
      </c>
      <c r="M1284" s="4">
        <f t="shared" si="83"/>
        <v>8.719340470695443E+57</v>
      </c>
    </row>
    <row r="1285" spans="1:13" x14ac:dyDescent="0.2">
      <c r="A1285" s="3">
        <f>StartYear+1283</f>
        <v>3308</v>
      </c>
      <c r="B1285" s="4">
        <f>FacultyFTE*HoursPerWeek*WeeksPerYear*RatePerHour*(1+PracticeGrowth)^1283</f>
        <v>4.4183813238384925E+32</v>
      </c>
      <c r="C1285" s="4">
        <f>StudentsY1*(1+StudentGrowth)^1283*CreditsPerStudent*TuitionPerCredit</f>
        <v>2.761488327399058E+33</v>
      </c>
      <c r="D1285" s="4">
        <f>SimRevY1*(1+SimGrowth)^1283</f>
        <v>6.3941830120765475E+57</v>
      </c>
      <c r="E1285" s="4">
        <f>FacDevRevY1*(1+FacDevGrowth)^1283</f>
        <v>3.1970915060382737E+57</v>
      </c>
      <c r="F1285" s="4">
        <f t="shared" si="80"/>
        <v>9.5912745181148212E+57</v>
      </c>
      <c r="G1285" s="4">
        <f t="shared" si="81"/>
        <v>9.5912745181148212E+57</v>
      </c>
      <c r="H1285" s="4">
        <f>SalaryFTECount*SalaryPerFTE*(1+SalaryGrowth)^1283</f>
        <v>1.4996627875280197E+27</v>
      </c>
      <c r="I1285" s="4">
        <f>SimOpsY1*(1+SimOpsGrowth)^1283</f>
        <v>2.2898105103647522E+47</v>
      </c>
      <c r="J1285" s="4">
        <f>TrainDevY1*(1+TrainDevGrowth)^1283</f>
        <v>1.1449052551823761E+47</v>
      </c>
      <c r="K1285" s="4">
        <f>AdminY1*(1+AdminGrowth)^1283</f>
        <v>5.8675274544982272E+36</v>
      </c>
      <c r="L1285" s="4">
        <f t="shared" si="82"/>
        <v>3.4347157656058037E+47</v>
      </c>
      <c r="M1285" s="4">
        <f t="shared" si="83"/>
        <v>9.5912745177713493E+57</v>
      </c>
    </row>
    <row r="1286" spans="1:13" x14ac:dyDescent="0.2">
      <c r="A1286" s="3">
        <f>StartYear+1284</f>
        <v>3309</v>
      </c>
      <c r="B1286" s="4">
        <f>FacultyFTE*HoursPerWeek*WeeksPerYear*RatePerHour*(1+PracticeGrowth)^1284</f>
        <v>4.6393003900304166E+32</v>
      </c>
      <c r="C1286" s="4">
        <f>StudentsY1*(1+StudentGrowth)^1284*CreditsPerStudent*TuitionPerCredit</f>
        <v>2.8995627437690111E+33</v>
      </c>
      <c r="D1286" s="4">
        <f>SimRevY1*(1+SimGrowth)^1284</f>
        <v>7.0336013132842014E+57</v>
      </c>
      <c r="E1286" s="4">
        <f>FacDevRevY1*(1+FacDevGrowth)^1284</f>
        <v>3.5168006566421007E+57</v>
      </c>
      <c r="F1286" s="4">
        <f t="shared" si="80"/>
        <v>1.0550401969926302E+58</v>
      </c>
      <c r="G1286" s="4">
        <f t="shared" si="81"/>
        <v>1.0550401969926302E+58</v>
      </c>
      <c r="H1286" s="4">
        <f>SalaryFTECount*SalaryPerFTE*(1+SalaryGrowth)^1284</f>
        <v>1.5596492990291405E+27</v>
      </c>
      <c r="I1286" s="4">
        <f>SimOpsY1*(1+SimOpsGrowth)^1284</f>
        <v>2.4729953511939326E+47</v>
      </c>
      <c r="J1286" s="4">
        <f>TrainDevY1*(1+TrainDevGrowth)^1284</f>
        <v>1.2364976755969663E+47</v>
      </c>
      <c r="K1286" s="4">
        <f>AdminY1*(1+AdminGrowth)^1284</f>
        <v>6.2195791017681216E+36</v>
      </c>
      <c r="L1286" s="4">
        <f t="shared" si="82"/>
        <v>3.7094930268530941E+47</v>
      </c>
      <c r="M1286" s="4">
        <f t="shared" si="83"/>
        <v>1.0550401969555353E+58</v>
      </c>
    </row>
    <row r="1287" spans="1:13" x14ac:dyDescent="0.2">
      <c r="A1287" s="3">
        <f>StartYear+1285</f>
        <v>3310</v>
      </c>
      <c r="B1287" s="4">
        <f>FacultyFTE*HoursPerWeek*WeeksPerYear*RatePerHour*(1+PracticeGrowth)^1285</f>
        <v>4.8712654095319383E+32</v>
      </c>
      <c r="C1287" s="4">
        <f>StudentsY1*(1+StudentGrowth)^1285*CreditsPerStudent*TuitionPerCredit</f>
        <v>3.0445408809574609E+33</v>
      </c>
      <c r="D1287" s="4">
        <f>SimRevY1*(1+SimGrowth)^1285</f>
        <v>7.7369614446126226E+57</v>
      </c>
      <c r="E1287" s="4">
        <f>FacDevRevY1*(1+FacDevGrowth)^1285</f>
        <v>3.8684807223063113E+57</v>
      </c>
      <c r="F1287" s="4">
        <f t="shared" si="80"/>
        <v>1.1605442166918935E+58</v>
      </c>
      <c r="G1287" s="4">
        <f t="shared" si="81"/>
        <v>1.1605442166918935E+58</v>
      </c>
      <c r="H1287" s="4">
        <f>SalaryFTECount*SalaryPerFTE*(1+SalaryGrowth)^1285</f>
        <v>1.6220352709903063E+27</v>
      </c>
      <c r="I1287" s="4">
        <f>SimOpsY1*(1+SimOpsGrowth)^1285</f>
        <v>2.6708349792894473E+47</v>
      </c>
      <c r="J1287" s="4">
        <f>TrainDevY1*(1+TrainDevGrowth)^1285</f>
        <v>1.3354174896447236E+47</v>
      </c>
      <c r="K1287" s="4">
        <f>AdminY1*(1+AdminGrowth)^1285</f>
        <v>6.5927538478742096E+36</v>
      </c>
      <c r="L1287" s="4">
        <f t="shared" si="82"/>
        <v>4.0062524690000985E+47</v>
      </c>
      <c r="M1287" s="4">
        <f t="shared" si="83"/>
        <v>1.1605442166518309E+58</v>
      </c>
    </row>
    <row r="1288" spans="1:13" x14ac:dyDescent="0.2">
      <c r="A1288" s="3">
        <f>StartYear+1286</f>
        <v>3311</v>
      </c>
      <c r="B1288" s="4">
        <f>FacultyFTE*HoursPerWeek*WeeksPerYear*RatePerHour*(1+PracticeGrowth)^1286</f>
        <v>5.1148286800085344E+32</v>
      </c>
      <c r="C1288" s="4">
        <f>StudentsY1*(1+StudentGrowth)^1286*CreditsPerStudent*TuitionPerCredit</f>
        <v>3.196767925005334E+33</v>
      </c>
      <c r="D1288" s="4">
        <f>SimRevY1*(1+SimGrowth)^1286</f>
        <v>8.510657589073887E+57</v>
      </c>
      <c r="E1288" s="4">
        <f>FacDevRevY1*(1+FacDevGrowth)^1286</f>
        <v>4.2553287945369435E+57</v>
      </c>
      <c r="F1288" s="4">
        <f t="shared" si="80"/>
        <v>1.2765986383610831E+58</v>
      </c>
      <c r="G1288" s="4">
        <f t="shared" si="81"/>
        <v>1.2765986383610831E+58</v>
      </c>
      <c r="H1288" s="4">
        <f>SalaryFTECount*SalaryPerFTE*(1+SalaryGrowth)^1286</f>
        <v>1.6869166818299186E+27</v>
      </c>
      <c r="I1288" s="4">
        <f>SimOpsY1*(1+SimOpsGrowth)^1286</f>
        <v>2.8845017776326035E+47</v>
      </c>
      <c r="J1288" s="4">
        <f>TrainDevY1*(1+TrainDevGrowth)^1286</f>
        <v>1.4422508888163017E+47</v>
      </c>
      <c r="K1288" s="4">
        <f>AdminY1*(1+AdminGrowth)^1286</f>
        <v>6.9883190787466619E+36</v>
      </c>
      <c r="L1288" s="4">
        <f t="shared" si="82"/>
        <v>4.3267526665187885E+47</v>
      </c>
      <c r="M1288" s="4">
        <f t="shared" si="83"/>
        <v>1.2765986383178155E+58</v>
      </c>
    </row>
    <row r="1289" spans="1:13" x14ac:dyDescent="0.2">
      <c r="A1289" s="3">
        <f>StartYear+1287</f>
        <v>3312</v>
      </c>
      <c r="B1289" s="4">
        <f>FacultyFTE*HoursPerWeek*WeeksPerYear*RatePerHour*(1+PracticeGrowth)^1287</f>
        <v>5.370570114008962E+32</v>
      </c>
      <c r="C1289" s="4">
        <f>StudentsY1*(1+StudentGrowth)^1287*CreditsPerStudent*TuitionPerCredit</f>
        <v>3.3566063212556019E+33</v>
      </c>
      <c r="D1289" s="4">
        <f>SimRevY1*(1+SimGrowth)^1287</f>
        <v>9.3617233479812747E+57</v>
      </c>
      <c r="E1289" s="4">
        <f>FacDevRevY1*(1+FacDevGrowth)^1287</f>
        <v>4.6808616739906374E+57</v>
      </c>
      <c r="F1289" s="4">
        <f t="shared" si="80"/>
        <v>1.4042585021971912E+58</v>
      </c>
      <c r="G1289" s="4">
        <f t="shared" si="81"/>
        <v>1.4042585021971912E+58</v>
      </c>
      <c r="H1289" s="4">
        <f>SalaryFTECount*SalaryPerFTE*(1+SalaryGrowth)^1287</f>
        <v>1.7543933491031149E+27</v>
      </c>
      <c r="I1289" s="4">
        <f>SimOpsY1*(1+SimOpsGrowth)^1287</f>
        <v>3.1152619198432116E+47</v>
      </c>
      <c r="J1289" s="4">
        <f>TrainDevY1*(1+TrainDevGrowth)^1287</f>
        <v>1.5576309599216058E+47</v>
      </c>
      <c r="K1289" s="4">
        <f>AdminY1*(1+AdminGrowth)^1287</f>
        <v>7.4076182234714634E+36</v>
      </c>
      <c r="L1289" s="4">
        <f t="shared" si="82"/>
        <v>4.6728928798388939E+47</v>
      </c>
      <c r="M1289" s="4">
        <f t="shared" si="83"/>
        <v>1.4042585021504622E+58</v>
      </c>
    </row>
    <row r="1290" spans="1:13" x14ac:dyDescent="0.2">
      <c r="A1290" s="3">
        <f>StartYear+1288</f>
        <v>3313</v>
      </c>
      <c r="B1290" s="4">
        <f>FacultyFTE*HoursPerWeek*WeeksPerYear*RatePerHour*(1+PracticeGrowth)^1288</f>
        <v>5.6390986197094099E+32</v>
      </c>
      <c r="C1290" s="4">
        <f>StudentsY1*(1+StudentGrowth)^1288*CreditsPerStudent*TuitionPerCredit</f>
        <v>3.5244366373183814E+33</v>
      </c>
      <c r="D1290" s="4">
        <f>SimRevY1*(1+SimGrowth)^1288</f>
        <v>1.0297895682779403E+58</v>
      </c>
      <c r="E1290" s="4">
        <f>FacDevRevY1*(1+FacDevGrowth)^1288</f>
        <v>5.1489478413897016E+57</v>
      </c>
      <c r="F1290" s="4">
        <f t="shared" si="80"/>
        <v>1.5446843524169106E+58</v>
      </c>
      <c r="G1290" s="4">
        <f t="shared" si="81"/>
        <v>1.5446843524169106E+58</v>
      </c>
      <c r="H1290" s="4">
        <f>SalaryFTECount*SalaryPerFTE*(1+SalaryGrowth)^1288</f>
        <v>1.8245690830672402E+27</v>
      </c>
      <c r="I1290" s="4">
        <f>SimOpsY1*(1+SimOpsGrowth)^1288</f>
        <v>3.3644828734306686E+47</v>
      </c>
      <c r="J1290" s="4">
        <f>TrainDevY1*(1+TrainDevGrowth)^1288</f>
        <v>1.6822414367153343E+47</v>
      </c>
      <c r="K1290" s="4">
        <f>AdminY1*(1+AdminGrowth)^1288</f>
        <v>7.8520753168797501E+36</v>
      </c>
      <c r="L1290" s="4">
        <f t="shared" si="82"/>
        <v>5.0467243102245237E+47</v>
      </c>
      <c r="M1290" s="4">
        <f t="shared" si="83"/>
        <v>1.5446843523664435E+58</v>
      </c>
    </row>
    <row r="1291" spans="1:13" x14ac:dyDescent="0.2">
      <c r="A1291" s="3">
        <f>StartYear+1289</f>
        <v>3314</v>
      </c>
      <c r="B1291" s="4">
        <f>FacultyFTE*HoursPerWeek*WeeksPerYear*RatePerHour*(1+PracticeGrowth)^1289</f>
        <v>5.9210535506948804E+32</v>
      </c>
      <c r="C1291" s="4">
        <f>StudentsY1*(1+StudentGrowth)^1289*CreditsPerStudent*TuitionPerCredit</f>
        <v>3.7006584691842996E+33</v>
      </c>
      <c r="D1291" s="4">
        <f>SimRevY1*(1+SimGrowth)^1289</f>
        <v>1.1327685251057345E+58</v>
      </c>
      <c r="E1291" s="4">
        <f>FacDevRevY1*(1+FacDevGrowth)^1289</f>
        <v>5.6638426255286724E+57</v>
      </c>
      <c r="F1291" s="4">
        <f t="shared" si="80"/>
        <v>1.6991527876586016E+58</v>
      </c>
      <c r="G1291" s="4">
        <f t="shared" si="81"/>
        <v>1.6991527876586016E+58</v>
      </c>
      <c r="H1291" s="4">
        <f>SalaryFTECount*SalaryPerFTE*(1+SalaryGrowth)^1289</f>
        <v>1.89755184638993E+27</v>
      </c>
      <c r="I1291" s="4">
        <f>SimOpsY1*(1+SimOpsGrowth)^1289</f>
        <v>3.6336415033051217E+47</v>
      </c>
      <c r="J1291" s="4">
        <f>TrainDevY1*(1+TrainDevGrowth)^1289</f>
        <v>1.8168207516525609E+47</v>
      </c>
      <c r="K1291" s="4">
        <f>AdminY1*(1+AdminGrowth)^1289</f>
        <v>8.3231998358925352E+36</v>
      </c>
      <c r="L1291" s="4">
        <f t="shared" si="82"/>
        <v>5.4504622550409145E+47</v>
      </c>
      <c r="M1291" s="4">
        <f t="shared" si="83"/>
        <v>1.6991527876040969E+58</v>
      </c>
    </row>
    <row r="1292" spans="1:13" x14ac:dyDescent="0.2">
      <c r="A1292" s="3">
        <f>StartYear+1290</f>
        <v>3315</v>
      </c>
      <c r="B1292" s="4">
        <f>FacultyFTE*HoursPerWeek*WeeksPerYear*RatePerHour*(1+PracticeGrowth)^1290</f>
        <v>6.2171062282296248E+32</v>
      </c>
      <c r="C1292" s="4">
        <f>StudentsY1*(1+StudentGrowth)^1290*CreditsPerStudent*TuitionPerCredit</f>
        <v>3.8856913926435158E+33</v>
      </c>
      <c r="D1292" s="4">
        <f>SimRevY1*(1+SimGrowth)^1290</f>
        <v>1.246045377616308E+58</v>
      </c>
      <c r="E1292" s="4">
        <f>FacDevRevY1*(1+FacDevGrowth)^1290</f>
        <v>6.2302268880815398E+57</v>
      </c>
      <c r="F1292" s="4">
        <f t="shared" si="80"/>
        <v>1.8690680664244621E+58</v>
      </c>
      <c r="G1292" s="4">
        <f t="shared" si="81"/>
        <v>1.8690680664244621E+58</v>
      </c>
      <c r="H1292" s="4">
        <f>SalaryFTECount*SalaryPerFTE*(1+SalaryGrowth)^1290</f>
        <v>1.9734539202455271E+27</v>
      </c>
      <c r="I1292" s="4">
        <f>SimOpsY1*(1+SimOpsGrowth)^1290</f>
        <v>3.9243328235695322E+47</v>
      </c>
      <c r="J1292" s="4">
        <f>TrainDevY1*(1+TrainDevGrowth)^1290</f>
        <v>1.9621664117847661E+47</v>
      </c>
      <c r="K1292" s="4">
        <f>AdminY1*(1+AdminGrowth)^1290</f>
        <v>8.8225918260460876E+36</v>
      </c>
      <c r="L1292" s="4">
        <f t="shared" si="82"/>
        <v>5.886499235442524E+47</v>
      </c>
      <c r="M1292" s="4">
        <f t="shared" si="83"/>
        <v>1.869068066365597E+58</v>
      </c>
    </row>
    <row r="1293" spans="1:13" x14ac:dyDescent="0.2">
      <c r="A1293" s="3">
        <f>StartYear+1291</f>
        <v>3316</v>
      </c>
      <c r="B1293" s="4">
        <f>FacultyFTE*HoursPerWeek*WeeksPerYear*RatePerHour*(1+PracticeGrowth)^1291</f>
        <v>6.5279615396411067E+32</v>
      </c>
      <c r="C1293" s="4">
        <f>StudentsY1*(1+StudentGrowth)^1291*CreditsPerStudent*TuitionPerCredit</f>
        <v>4.0799759622756915E+33</v>
      </c>
      <c r="D1293" s="4">
        <f>SimRevY1*(1+SimGrowth)^1291</f>
        <v>1.3706499153779391E+58</v>
      </c>
      <c r="E1293" s="4">
        <f>FacDevRevY1*(1+FacDevGrowth)^1291</f>
        <v>6.8532495768896953E+57</v>
      </c>
      <c r="F1293" s="4">
        <f t="shared" si="80"/>
        <v>2.0559748730669085E+58</v>
      </c>
      <c r="G1293" s="4">
        <f t="shared" si="81"/>
        <v>2.0559748730669085E+58</v>
      </c>
      <c r="H1293" s="4">
        <f>SalaryFTECount*SalaryPerFTE*(1+SalaryGrowth)^1291</f>
        <v>2.052392077055348E+27</v>
      </c>
      <c r="I1293" s="4">
        <f>SimOpsY1*(1+SimOpsGrowth)^1291</f>
        <v>4.238279449455095E+47</v>
      </c>
      <c r="J1293" s="4">
        <f>TrainDevY1*(1+TrainDevGrowth)^1291</f>
        <v>2.1191397247275475E+47</v>
      </c>
      <c r="K1293" s="4">
        <f>AdminY1*(1+AdminGrowth)^1291</f>
        <v>9.3519473356088563E+36</v>
      </c>
      <c r="L1293" s="4">
        <f t="shared" si="82"/>
        <v>6.3574191742761622E+47</v>
      </c>
      <c r="M1293" s="4">
        <f t="shared" si="83"/>
        <v>2.0559748730033343E+58</v>
      </c>
    </row>
    <row r="1294" spans="1:13" x14ac:dyDescent="0.2">
      <c r="A1294" s="3">
        <f>StartYear+1292</f>
        <v>3317</v>
      </c>
      <c r="B1294" s="4">
        <f>FacultyFTE*HoursPerWeek*WeeksPerYear*RatePerHour*(1+PracticeGrowth)^1292</f>
        <v>6.8543596166231612E+32</v>
      </c>
      <c r="C1294" s="4">
        <f>StudentsY1*(1+StudentGrowth)^1292*CreditsPerStudent*TuitionPerCredit</f>
        <v>4.2839747603894759E+33</v>
      </c>
      <c r="D1294" s="4">
        <f>SimRevY1*(1+SimGrowth)^1292</f>
        <v>1.5077149069157327E+58</v>
      </c>
      <c r="E1294" s="4">
        <f>FacDevRevY1*(1+FacDevGrowth)^1292</f>
        <v>7.5385745345786636E+57</v>
      </c>
      <c r="F1294" s="4">
        <f t="shared" si="80"/>
        <v>2.2615723603735991E+58</v>
      </c>
      <c r="G1294" s="4">
        <f t="shared" si="81"/>
        <v>2.2615723603735991E+58</v>
      </c>
      <c r="H1294" s="4">
        <f>SalaryFTECount*SalaryPerFTE*(1+SalaryGrowth)^1292</f>
        <v>2.1344877601375622E+27</v>
      </c>
      <c r="I1294" s="4">
        <f>SimOpsY1*(1+SimOpsGrowth)^1292</f>
        <v>4.5773418054115028E+47</v>
      </c>
      <c r="J1294" s="4">
        <f>TrainDevY1*(1+TrainDevGrowth)^1292</f>
        <v>2.2886709027057514E+47</v>
      </c>
      <c r="K1294" s="4">
        <f>AdminY1*(1+AdminGrowth)^1292</f>
        <v>9.9130641757453874E+36</v>
      </c>
      <c r="L1294" s="4">
        <f t="shared" si="82"/>
        <v>6.8660127082163853E+47</v>
      </c>
      <c r="M1294" s="4">
        <f t="shared" si="83"/>
        <v>2.261572360304939E+58</v>
      </c>
    </row>
    <row r="1295" spans="1:13" x14ac:dyDescent="0.2">
      <c r="A1295" s="3">
        <f>StartYear+1293</f>
        <v>3318</v>
      </c>
      <c r="B1295" s="4">
        <f>FacultyFTE*HoursPerWeek*WeeksPerYear*RatePerHour*(1+PracticeGrowth)^1293</f>
        <v>7.1970775974543197E+32</v>
      </c>
      <c r="C1295" s="4">
        <f>StudentsY1*(1+StudentGrowth)^1293*CreditsPerStudent*TuitionPerCredit</f>
        <v>4.4981734984089497E+33</v>
      </c>
      <c r="D1295" s="4">
        <f>SimRevY1*(1+SimGrowth)^1293</f>
        <v>1.6584863976073061E+58</v>
      </c>
      <c r="E1295" s="4">
        <f>FacDevRevY1*(1+FacDevGrowth)^1293</f>
        <v>8.2924319880365305E+57</v>
      </c>
      <c r="F1295" s="4">
        <f t="shared" si="80"/>
        <v>2.4877295964109593E+58</v>
      </c>
      <c r="G1295" s="4">
        <f t="shared" si="81"/>
        <v>2.4877295964109593E+58</v>
      </c>
      <c r="H1295" s="4">
        <f>SalaryFTECount*SalaryPerFTE*(1+SalaryGrowth)^1293</f>
        <v>2.2198672705430652E+27</v>
      </c>
      <c r="I1295" s="4">
        <f>SimOpsY1*(1+SimOpsGrowth)^1293</f>
        <v>4.9435291498444236E+47</v>
      </c>
      <c r="J1295" s="4">
        <f>TrainDevY1*(1+TrainDevGrowth)^1293</f>
        <v>2.4717645749222118E+47</v>
      </c>
      <c r="K1295" s="4">
        <f>AdminY1*(1+AdminGrowth)^1293</f>
        <v>1.050784802629011E+37</v>
      </c>
      <c r="L1295" s="4">
        <f t="shared" si="82"/>
        <v>7.4152937248717144E+47</v>
      </c>
      <c r="M1295" s="4">
        <f t="shared" si="83"/>
        <v>2.4877295963368063E+58</v>
      </c>
    </row>
    <row r="1296" spans="1:13" x14ac:dyDescent="0.2">
      <c r="A1296" s="3">
        <f>StartYear+1294</f>
        <v>3319</v>
      </c>
      <c r="B1296" s="4">
        <f>FacultyFTE*HoursPerWeek*WeeksPerYear*RatePerHour*(1+PracticeGrowth)^1294</f>
        <v>7.5569314773270338E+32</v>
      </c>
      <c r="C1296" s="4">
        <f>StudentsY1*(1+StudentGrowth)^1294*CreditsPerStudent*TuitionPerCredit</f>
        <v>4.7230821733293964E+33</v>
      </c>
      <c r="D1296" s="4">
        <f>SimRevY1*(1+SimGrowth)^1294</f>
        <v>1.8243350373680369E+58</v>
      </c>
      <c r="E1296" s="4">
        <f>FacDevRevY1*(1+FacDevGrowth)^1294</f>
        <v>9.1216751868401846E+57</v>
      </c>
      <c r="F1296" s="4">
        <f t="shared" si="80"/>
        <v>2.7365025560520555E+58</v>
      </c>
      <c r="G1296" s="4">
        <f t="shared" si="81"/>
        <v>2.7365025560520555E+58</v>
      </c>
      <c r="H1296" s="4">
        <f>SalaryFTECount*SalaryPerFTE*(1+SalaryGrowth)^1294</f>
        <v>2.3086619613647878E+27</v>
      </c>
      <c r="I1296" s="4">
        <f>SimOpsY1*(1+SimOpsGrowth)^1294</f>
        <v>5.339011481831978E+47</v>
      </c>
      <c r="J1296" s="4">
        <f>TrainDevY1*(1+TrainDevGrowth)^1294</f>
        <v>2.669505740915989E+47</v>
      </c>
      <c r="K1296" s="4">
        <f>AdminY1*(1+AdminGrowth)^1294</f>
        <v>1.1138318907867516E+37</v>
      </c>
      <c r="L1296" s="4">
        <f t="shared" si="82"/>
        <v>8.0085172228593498E+47</v>
      </c>
      <c r="M1296" s="4">
        <f t="shared" si="83"/>
        <v>2.7365025559719702E+58</v>
      </c>
    </row>
    <row r="1297" spans="1:13" x14ac:dyDescent="0.2">
      <c r="A1297" s="3">
        <f>StartYear+1295</f>
        <v>3320</v>
      </c>
      <c r="B1297" s="4">
        <f>FacultyFTE*HoursPerWeek*WeeksPerYear*RatePerHour*(1+PracticeGrowth)^1295</f>
        <v>7.9347780511933869E+32</v>
      </c>
      <c r="C1297" s="4">
        <f>StudentsY1*(1+StudentGrowth)^1295*CreditsPerStudent*TuitionPerCredit</f>
        <v>4.9592362819958673E+33</v>
      </c>
      <c r="D1297" s="4">
        <f>SimRevY1*(1+SimGrowth)^1295</f>
        <v>2.006768541104841E+58</v>
      </c>
      <c r="E1297" s="4">
        <f>FacDevRevY1*(1+FacDevGrowth)^1295</f>
        <v>1.0033842705524205E+58</v>
      </c>
      <c r="F1297" s="4">
        <f t="shared" si="80"/>
        <v>3.0101528116572614E+58</v>
      </c>
      <c r="G1297" s="4">
        <f t="shared" si="81"/>
        <v>3.0101528116572614E+58</v>
      </c>
      <c r="H1297" s="4">
        <f>SalaryFTECount*SalaryPerFTE*(1+SalaryGrowth)^1295</f>
        <v>2.4010084398193789E+27</v>
      </c>
      <c r="I1297" s="4">
        <f>SimOpsY1*(1+SimOpsGrowth)^1295</f>
        <v>5.7661324003785356E+47</v>
      </c>
      <c r="J1297" s="4">
        <f>TrainDevY1*(1+TrainDevGrowth)^1295</f>
        <v>2.8830662001892678E+47</v>
      </c>
      <c r="K1297" s="4">
        <f>AdminY1*(1+AdminGrowth)^1295</f>
        <v>1.1806618042339573E+37</v>
      </c>
      <c r="L1297" s="4">
        <f t="shared" si="82"/>
        <v>8.649198600685869E+47</v>
      </c>
      <c r="M1297" s="4">
        <f t="shared" si="83"/>
        <v>3.0101528115707697E+58</v>
      </c>
    </row>
    <row r="1298" spans="1:13" x14ac:dyDescent="0.2">
      <c r="A1298" s="3">
        <f>StartYear+1296</f>
        <v>3321</v>
      </c>
      <c r="B1298" s="4">
        <f>FacultyFTE*HoursPerWeek*WeeksPerYear*RatePerHour*(1+PracticeGrowth)^1296</f>
        <v>8.3315169537530586E+32</v>
      </c>
      <c r="C1298" s="4">
        <f>StudentsY1*(1+StudentGrowth)^1296*CreditsPerStudent*TuitionPerCredit</f>
        <v>5.2071980960956616E+33</v>
      </c>
      <c r="D1298" s="4">
        <f>SimRevY1*(1+SimGrowth)^1296</f>
        <v>2.207445395215325E+58</v>
      </c>
      <c r="E1298" s="4">
        <f>FacDevRevY1*(1+FacDevGrowth)^1296</f>
        <v>1.1037226976076625E+58</v>
      </c>
      <c r="F1298" s="4">
        <f t="shared" si="80"/>
        <v>3.3111680928229876E+58</v>
      </c>
      <c r="G1298" s="4">
        <f t="shared" si="81"/>
        <v>3.3111680928229876E+58</v>
      </c>
      <c r="H1298" s="4">
        <f>SalaryFTECount*SalaryPerFTE*(1+SalaryGrowth)^1296</f>
        <v>2.4970487774121545E+27</v>
      </c>
      <c r="I1298" s="4">
        <f>SimOpsY1*(1+SimOpsGrowth)^1296</f>
        <v>6.2274229924088191E+47</v>
      </c>
      <c r="J1298" s="4">
        <f>TrainDevY1*(1+TrainDevGrowth)^1296</f>
        <v>3.1137114962044096E+47</v>
      </c>
      <c r="K1298" s="4">
        <f>AdminY1*(1+AdminGrowth)^1296</f>
        <v>1.2515015124879941E+37</v>
      </c>
      <c r="L1298" s="4">
        <f t="shared" si="82"/>
        <v>9.3411344887383789E+47</v>
      </c>
      <c r="M1298" s="4">
        <f t="shared" si="83"/>
        <v>3.3111680927295765E+58</v>
      </c>
    </row>
    <row r="1299" spans="1:13" x14ac:dyDescent="0.2">
      <c r="A1299" s="3">
        <f>StartYear+1297</f>
        <v>3322</v>
      </c>
      <c r="B1299" s="4">
        <f>FacultyFTE*HoursPerWeek*WeeksPerYear*RatePerHour*(1+PracticeGrowth)^1297</f>
        <v>8.7480928014407114E+32</v>
      </c>
      <c r="C1299" s="4">
        <f>StudentsY1*(1+StudentGrowth)^1297*CreditsPerStudent*TuitionPerCredit</f>
        <v>5.4675580009004447E+33</v>
      </c>
      <c r="D1299" s="4">
        <f>SimRevY1*(1+SimGrowth)^1297</f>
        <v>2.4281899347368576E+58</v>
      </c>
      <c r="E1299" s="4">
        <f>FacDevRevY1*(1+FacDevGrowth)^1297</f>
        <v>1.2140949673684288E+58</v>
      </c>
      <c r="F1299" s="4">
        <f t="shared" si="80"/>
        <v>3.6422849021052865E+58</v>
      </c>
      <c r="G1299" s="4">
        <f t="shared" si="81"/>
        <v>3.6422849021052865E+58</v>
      </c>
      <c r="H1299" s="4">
        <f>SalaryFTECount*SalaryPerFTE*(1+SalaryGrowth)^1297</f>
        <v>2.5969307285086408E+27</v>
      </c>
      <c r="I1299" s="4">
        <f>SimOpsY1*(1+SimOpsGrowth)^1297</f>
        <v>6.7256168318015244E+47</v>
      </c>
      <c r="J1299" s="4">
        <f>TrainDevY1*(1+TrainDevGrowth)^1297</f>
        <v>3.3628084159007622E+47</v>
      </c>
      <c r="K1299" s="4">
        <f>AdminY1*(1+AdminGrowth)^1297</f>
        <v>1.3265916032372742E+37</v>
      </c>
      <c r="L1299" s="4">
        <f t="shared" si="82"/>
        <v>1.0088425247834946E+48</v>
      </c>
      <c r="M1299" s="4">
        <f t="shared" si="83"/>
        <v>3.6422849020044024E+58</v>
      </c>
    </row>
    <row r="1300" spans="1:13" x14ac:dyDescent="0.2">
      <c r="A1300" s="3">
        <f>StartYear+1298</f>
        <v>3323</v>
      </c>
      <c r="B1300" s="4">
        <f>FacultyFTE*HoursPerWeek*WeeksPerYear*RatePerHour*(1+PracticeGrowth)^1298</f>
        <v>9.1854974415127465E+32</v>
      </c>
      <c r="C1300" s="4">
        <f>StudentsY1*(1+StudentGrowth)^1298*CreditsPerStudent*TuitionPerCredit</f>
        <v>5.7409359009454663E+33</v>
      </c>
      <c r="D1300" s="4">
        <f>SimRevY1*(1+SimGrowth)^1298</f>
        <v>2.6710089282105435E+58</v>
      </c>
      <c r="E1300" s="4">
        <f>FacDevRevY1*(1+FacDevGrowth)^1298</f>
        <v>1.3355044641052717E+58</v>
      </c>
      <c r="F1300" s="4">
        <f t="shared" si="80"/>
        <v>4.0065133923158155E+58</v>
      </c>
      <c r="G1300" s="4">
        <f t="shared" si="81"/>
        <v>4.0065133923158155E+58</v>
      </c>
      <c r="H1300" s="4">
        <f>SalaryFTECount*SalaryPerFTE*(1+SalaryGrowth)^1298</f>
        <v>2.7008079576489866E+27</v>
      </c>
      <c r="I1300" s="4">
        <f>SimOpsY1*(1+SimOpsGrowth)^1298</f>
        <v>7.2636661783456471E+47</v>
      </c>
      <c r="J1300" s="4">
        <f>TrainDevY1*(1+TrainDevGrowth)^1298</f>
        <v>3.6318330891728236E+47</v>
      </c>
      <c r="K1300" s="4">
        <f>AdminY1*(1+AdminGrowth)^1298</f>
        <v>1.4061870994315105E+37</v>
      </c>
      <c r="L1300" s="4">
        <f t="shared" si="82"/>
        <v>1.089549926765909E+48</v>
      </c>
      <c r="M1300" s="4">
        <f t="shared" si="83"/>
        <v>4.0065133922068608E+58</v>
      </c>
    </row>
    <row r="1301" spans="1:13" x14ac:dyDescent="0.2">
      <c r="A1301" s="3">
        <f>StartYear+1299</f>
        <v>3324</v>
      </c>
      <c r="B1301" s="4">
        <f>FacultyFTE*HoursPerWeek*WeeksPerYear*RatePerHour*(1+PracticeGrowth)^1299</f>
        <v>9.6447723135883836E+32</v>
      </c>
      <c r="C1301" s="4">
        <f>StudentsY1*(1+StudentGrowth)^1299*CreditsPerStudent*TuitionPerCredit</f>
        <v>6.0279826959927407E+33</v>
      </c>
      <c r="D1301" s="4">
        <f>SimRevY1*(1+SimGrowth)^1299</f>
        <v>2.9381098210315986E+58</v>
      </c>
      <c r="E1301" s="4">
        <f>FacDevRevY1*(1+FacDevGrowth)^1299</f>
        <v>1.4690549105157993E+58</v>
      </c>
      <c r="F1301" s="4">
        <f t="shared" si="80"/>
        <v>4.4071647315473978E+58</v>
      </c>
      <c r="G1301" s="4">
        <f t="shared" si="81"/>
        <v>4.4071647315473978E+58</v>
      </c>
      <c r="H1301" s="4">
        <f>SalaryFTECount*SalaryPerFTE*(1+SalaryGrowth)^1299</f>
        <v>2.8088402759549465E+27</v>
      </c>
      <c r="I1301" s="4">
        <f>SimOpsY1*(1+SimOpsGrowth)^1299</f>
        <v>7.8447594726133002E+47</v>
      </c>
      <c r="J1301" s="4">
        <f>TrainDevY1*(1+TrainDevGrowth)^1299</f>
        <v>3.9223797363066501E+47</v>
      </c>
      <c r="K1301" s="4">
        <f>AdminY1*(1+AdminGrowth)^1299</f>
        <v>1.4905583253974012E+37</v>
      </c>
      <c r="L1301" s="4">
        <f t="shared" si="82"/>
        <v>1.1767139209069007E+48</v>
      </c>
      <c r="M1301" s="4">
        <f t="shared" si="83"/>
        <v>4.4071647314297263E+58</v>
      </c>
    </row>
    <row r="1302" spans="1:13" x14ac:dyDescent="0.2">
      <c r="A1302" s="3">
        <f>StartYear+1300</f>
        <v>3325</v>
      </c>
      <c r="B1302" s="4">
        <f>FacultyFTE*HoursPerWeek*WeeksPerYear*RatePerHour*(1+PracticeGrowth)^1300</f>
        <v>1.0127010929267802E+33</v>
      </c>
      <c r="C1302" s="4">
        <f>StudentsY1*(1+StudentGrowth)^1300*CreditsPerStudent*TuitionPerCredit</f>
        <v>6.3293818307923774E+33</v>
      </c>
      <c r="D1302" s="4">
        <f>SimRevY1*(1+SimGrowth)^1300</f>
        <v>3.2319208031347579E+58</v>
      </c>
      <c r="E1302" s="4">
        <f>FacDevRevY1*(1+FacDevGrowth)^1300</f>
        <v>1.6159604015673789E+58</v>
      </c>
      <c r="F1302" s="4">
        <f t="shared" si="80"/>
        <v>4.8478812047021368E+58</v>
      </c>
      <c r="G1302" s="4">
        <f t="shared" si="81"/>
        <v>4.8478812047021368E+58</v>
      </c>
      <c r="H1302" s="4">
        <f>SalaryFTECount*SalaryPerFTE*(1+SalaryGrowth)^1300</f>
        <v>2.921193886993144E+27</v>
      </c>
      <c r="I1302" s="4">
        <f>SimOpsY1*(1+SimOpsGrowth)^1300</f>
        <v>8.4723402304223639E+47</v>
      </c>
      <c r="J1302" s="4">
        <f>TrainDevY1*(1+TrainDevGrowth)^1300</f>
        <v>4.236170115211182E+47</v>
      </c>
      <c r="K1302" s="4">
        <f>AdminY1*(1+AdminGrowth)^1300</f>
        <v>1.5799918249212456E+37</v>
      </c>
      <c r="L1302" s="4">
        <f t="shared" si="82"/>
        <v>1.2708510345791545E+48</v>
      </c>
      <c r="M1302" s="4">
        <f t="shared" si="83"/>
        <v>4.8478812045750515E+58</v>
      </c>
    </row>
    <row r="1303" spans="1:13" x14ac:dyDescent="0.2">
      <c r="A1303" s="3">
        <f>StartYear+1301</f>
        <v>3326</v>
      </c>
      <c r="B1303" s="4">
        <f>FacultyFTE*HoursPerWeek*WeeksPerYear*RatePerHour*(1+PracticeGrowth)^1301</f>
        <v>1.0633361475731194E+33</v>
      </c>
      <c r="C1303" s="4">
        <f>StudentsY1*(1+StudentGrowth)^1301*CreditsPerStudent*TuitionPerCredit</f>
        <v>6.6458509223319963E+33</v>
      </c>
      <c r="D1303" s="4">
        <f>SimRevY1*(1+SimGrowth)^1301</f>
        <v>3.5551128834482347E+58</v>
      </c>
      <c r="E1303" s="4">
        <f>FacDevRevY1*(1+FacDevGrowth)^1301</f>
        <v>1.7775564417241173E+58</v>
      </c>
      <c r="F1303" s="4">
        <f t="shared" si="80"/>
        <v>5.3326693251723517E+58</v>
      </c>
      <c r="G1303" s="4">
        <f t="shared" si="81"/>
        <v>5.3326693251723517E+58</v>
      </c>
      <c r="H1303" s="4">
        <f>SalaryFTECount*SalaryPerFTE*(1+SalaryGrowth)^1301</f>
        <v>3.0380416424728706E+27</v>
      </c>
      <c r="I1303" s="4">
        <f>SimOpsY1*(1+SimOpsGrowth)^1301</f>
        <v>9.1501274488561541E+47</v>
      </c>
      <c r="J1303" s="4">
        <f>TrainDevY1*(1+TrainDevGrowth)^1301</f>
        <v>4.575063724428077E+47</v>
      </c>
      <c r="K1303" s="4">
        <f>AdminY1*(1+AdminGrowth)^1301</f>
        <v>1.6747913344165204E+37</v>
      </c>
      <c r="L1303" s="4">
        <f t="shared" si="82"/>
        <v>1.3725191173451711E+48</v>
      </c>
      <c r="M1303" s="4">
        <f t="shared" si="83"/>
        <v>5.3326693250350995E+58</v>
      </c>
    </row>
    <row r="1304" spans="1:13" x14ac:dyDescent="0.2">
      <c r="A1304" s="3">
        <f>StartYear+1302</f>
        <v>3327</v>
      </c>
      <c r="B1304" s="4">
        <f>FacultyFTE*HoursPerWeek*WeeksPerYear*RatePerHour*(1+PracticeGrowth)^1302</f>
        <v>1.1165029549517752E+33</v>
      </c>
      <c r="C1304" s="4">
        <f>StudentsY1*(1+StudentGrowth)^1302*CreditsPerStudent*TuitionPerCredit</f>
        <v>6.9781434684485952E+33</v>
      </c>
      <c r="D1304" s="4">
        <f>SimRevY1*(1+SimGrowth)^1302</f>
        <v>3.9106241717930586E+58</v>
      </c>
      <c r="E1304" s="4">
        <f>FacDevRevY1*(1+FacDevGrowth)^1302</f>
        <v>1.9553120858965293E+58</v>
      </c>
      <c r="F1304" s="4">
        <f t="shared" si="80"/>
        <v>5.8659362576895882E+58</v>
      </c>
      <c r="G1304" s="4">
        <f t="shared" si="81"/>
        <v>5.8659362576895882E+58</v>
      </c>
      <c r="H1304" s="4">
        <f>SalaryFTECount*SalaryPerFTE*(1+SalaryGrowth)^1302</f>
        <v>3.1595633081717848E+27</v>
      </c>
      <c r="I1304" s="4">
        <f>SimOpsY1*(1+SimOpsGrowth)^1302</f>
        <v>9.8821376447646475E+47</v>
      </c>
      <c r="J1304" s="4">
        <f>TrainDevY1*(1+TrainDevGrowth)^1302</f>
        <v>4.9410688223823238E+47</v>
      </c>
      <c r="K1304" s="4">
        <f>AdminY1*(1+AdminGrowth)^1302</f>
        <v>1.7752788144815118E+37</v>
      </c>
      <c r="L1304" s="4">
        <f t="shared" si="82"/>
        <v>1.4823206467324499E+48</v>
      </c>
      <c r="M1304" s="4">
        <f t="shared" si="83"/>
        <v>5.8659362575413563E+58</v>
      </c>
    </row>
    <row r="1305" spans="1:13" x14ac:dyDescent="0.2">
      <c r="A1305" s="3">
        <f>StartYear+1303</f>
        <v>3328</v>
      </c>
      <c r="B1305" s="4">
        <f>FacultyFTE*HoursPerWeek*WeeksPerYear*RatePerHour*(1+PracticeGrowth)^1303</f>
        <v>1.1723281026993641E+33</v>
      </c>
      <c r="C1305" s="4">
        <f>StudentsY1*(1+StudentGrowth)^1303*CreditsPerStudent*TuitionPerCredit</f>
        <v>7.3270506418710261E+33</v>
      </c>
      <c r="D1305" s="4">
        <f>SimRevY1*(1+SimGrowth)^1303</f>
        <v>4.3016865889723646E+58</v>
      </c>
      <c r="E1305" s="4">
        <f>FacDevRevY1*(1+FacDevGrowth)^1303</f>
        <v>2.1508432944861823E+58</v>
      </c>
      <c r="F1305" s="4">
        <f t="shared" si="80"/>
        <v>6.4525298834585472E+58</v>
      </c>
      <c r="G1305" s="4">
        <f t="shared" si="81"/>
        <v>6.4525298834585472E+58</v>
      </c>
      <c r="H1305" s="4">
        <f>SalaryFTECount*SalaryPerFTE*(1+SalaryGrowth)^1303</f>
        <v>3.2859458404986564E+27</v>
      </c>
      <c r="I1305" s="4">
        <f>SimOpsY1*(1+SimOpsGrowth)^1303</f>
        <v>1.0672708656345818E+48</v>
      </c>
      <c r="J1305" s="4">
        <f>TrainDevY1*(1+TrainDevGrowth)^1303</f>
        <v>5.336354328172909E+47</v>
      </c>
      <c r="K1305" s="4">
        <f>AdminY1*(1+AdminGrowth)^1303</f>
        <v>1.8817955433504028E+37</v>
      </c>
      <c r="L1305" s="4">
        <f t="shared" si="82"/>
        <v>1.6009062984706905E+48</v>
      </c>
      <c r="M1305" s="4">
        <f t="shared" si="83"/>
        <v>6.4525298832984569E+58</v>
      </c>
    </row>
    <row r="1306" spans="1:13" x14ac:dyDescent="0.2">
      <c r="A1306" s="3">
        <f>StartYear+1304</f>
        <v>3329</v>
      </c>
      <c r="B1306" s="4">
        <f>FacultyFTE*HoursPerWeek*WeeksPerYear*RatePerHour*(1+PracticeGrowth)^1304</f>
        <v>1.2309445078343323E+33</v>
      </c>
      <c r="C1306" s="4">
        <f>StudentsY1*(1+StudentGrowth)^1304*CreditsPerStudent*TuitionPerCredit</f>
        <v>7.6934031739645762E+33</v>
      </c>
      <c r="D1306" s="4">
        <f>SimRevY1*(1+SimGrowth)^1304</f>
        <v>4.7318552478696004E+58</v>
      </c>
      <c r="E1306" s="4">
        <f>FacDevRevY1*(1+FacDevGrowth)^1304</f>
        <v>2.3659276239348002E+58</v>
      </c>
      <c r="F1306" s="4">
        <f t="shared" si="80"/>
        <v>7.0977828718044009E+58</v>
      </c>
      <c r="G1306" s="4">
        <f t="shared" si="81"/>
        <v>7.0977828718044009E+58</v>
      </c>
      <c r="H1306" s="4">
        <f>SalaryFTECount*SalaryPerFTE*(1+SalaryGrowth)^1304</f>
        <v>3.4173836741186029E+27</v>
      </c>
      <c r="I1306" s="4">
        <f>SimOpsY1*(1+SimOpsGrowth)^1304</f>
        <v>1.1526525348853485E+48</v>
      </c>
      <c r="J1306" s="4">
        <f>TrainDevY1*(1+TrainDevGrowth)^1304</f>
        <v>5.7632626744267424E+47</v>
      </c>
      <c r="K1306" s="4">
        <f>AdminY1*(1+AdminGrowth)^1304</f>
        <v>1.9947032759514266E+37</v>
      </c>
      <c r="L1306" s="4">
        <f t="shared" si="82"/>
        <v>1.7289788023479701E+48</v>
      </c>
      <c r="M1306" s="4">
        <f t="shared" si="83"/>
        <v>7.0977828716315032E+58</v>
      </c>
    </row>
    <row r="1307" spans="1:13" x14ac:dyDescent="0.2">
      <c r="A1307" s="3">
        <f>StartYear+1305</f>
        <v>3330</v>
      </c>
      <c r="B1307" s="4">
        <f>FacultyFTE*HoursPerWeek*WeeksPerYear*RatePerHour*(1+PracticeGrowth)^1305</f>
        <v>1.2924917332260488E+33</v>
      </c>
      <c r="C1307" s="4">
        <f>StudentsY1*(1+StudentGrowth)^1305*CreditsPerStudent*TuitionPerCredit</f>
        <v>8.0780733326628053E+33</v>
      </c>
      <c r="D1307" s="4">
        <f>SimRevY1*(1+SimGrowth)^1305</f>
        <v>5.2050407726565612E+58</v>
      </c>
      <c r="E1307" s="4">
        <f>FacDevRevY1*(1+FacDevGrowth)^1305</f>
        <v>2.6025203863282806E+58</v>
      </c>
      <c r="F1307" s="4">
        <f t="shared" si="80"/>
        <v>7.8075611589848412E+58</v>
      </c>
      <c r="G1307" s="4">
        <f t="shared" si="81"/>
        <v>7.8075611589848412E+58</v>
      </c>
      <c r="H1307" s="4">
        <f>SalaryFTECount*SalaryPerFTE*(1+SalaryGrowth)^1305</f>
        <v>3.5540790210833476E+27</v>
      </c>
      <c r="I1307" s="4">
        <f>SimOpsY1*(1+SimOpsGrowth)^1305</f>
        <v>1.2448647376761764E+48</v>
      </c>
      <c r="J1307" s="4">
        <f>TrainDevY1*(1+TrainDevGrowth)^1305</f>
        <v>6.224323688380882E+47</v>
      </c>
      <c r="K1307" s="4">
        <f>AdminY1*(1+AdminGrowth)^1305</f>
        <v>2.1143854725085118E+37</v>
      </c>
      <c r="L1307" s="4">
        <f t="shared" si="82"/>
        <v>1.8672971065354085E+48</v>
      </c>
      <c r="M1307" s="4">
        <f t="shared" si="83"/>
        <v>7.8075611587981115E+58</v>
      </c>
    </row>
    <row r="1308" spans="1:13" x14ac:dyDescent="0.2">
      <c r="A1308" s="3">
        <f>StartYear+1306</f>
        <v>3331</v>
      </c>
      <c r="B1308" s="4">
        <f>FacultyFTE*HoursPerWeek*WeeksPerYear*RatePerHour*(1+PracticeGrowth)^1306</f>
        <v>1.3571163198873513E+33</v>
      </c>
      <c r="C1308" s="4">
        <f>StudentsY1*(1+StudentGrowth)^1306*CreditsPerStudent*TuitionPerCredit</f>
        <v>8.4819769992959464E+33</v>
      </c>
      <c r="D1308" s="4">
        <f>SimRevY1*(1+SimGrowth)^1306</f>
        <v>5.7255448499222176E+58</v>
      </c>
      <c r="E1308" s="4">
        <f>FacDevRevY1*(1+FacDevGrowth)^1306</f>
        <v>2.8627724249611088E+58</v>
      </c>
      <c r="F1308" s="4">
        <f t="shared" si="80"/>
        <v>8.5883172748833264E+58</v>
      </c>
      <c r="G1308" s="4">
        <f t="shared" si="81"/>
        <v>8.5883172748833264E+58</v>
      </c>
      <c r="H1308" s="4">
        <f>SalaryFTECount*SalaryPerFTE*(1+SalaryGrowth)^1306</f>
        <v>3.6962421819266807E+27</v>
      </c>
      <c r="I1308" s="4">
        <f>SimOpsY1*(1+SimOpsGrowth)^1306</f>
        <v>1.3444539166902706E+48</v>
      </c>
      <c r="J1308" s="4">
        <f>TrainDevY1*(1+TrainDevGrowth)^1306</f>
        <v>6.7222695834513532E+47</v>
      </c>
      <c r="K1308" s="4">
        <f>AdminY1*(1+AdminGrowth)^1306</f>
        <v>2.2412486008590229E+37</v>
      </c>
      <c r="L1308" s="4">
        <f t="shared" si="82"/>
        <v>2.0166808750578184E+48</v>
      </c>
      <c r="M1308" s="4">
        <f t="shared" si="83"/>
        <v>8.5883172746816585E+58</v>
      </c>
    </row>
    <row r="1309" spans="1:13" x14ac:dyDescent="0.2">
      <c r="A1309" s="3">
        <f>StartYear+1307</f>
        <v>3332</v>
      </c>
      <c r="B1309" s="4">
        <f>FacultyFTE*HoursPerWeek*WeeksPerYear*RatePerHour*(1+PracticeGrowth)^1307</f>
        <v>1.4249721358817189E+33</v>
      </c>
      <c r="C1309" s="4">
        <f>StudentsY1*(1+StudentGrowth)^1307*CreditsPerStudent*TuitionPerCredit</f>
        <v>8.906075849260744E+33</v>
      </c>
      <c r="D1309" s="4">
        <f>SimRevY1*(1+SimGrowth)^1307</f>
        <v>6.2980993349144409E+58</v>
      </c>
      <c r="E1309" s="4">
        <f>FacDevRevY1*(1+FacDevGrowth)^1307</f>
        <v>3.1490496674572205E+58</v>
      </c>
      <c r="F1309" s="4">
        <f t="shared" si="80"/>
        <v>9.4471490023716619E+58</v>
      </c>
      <c r="G1309" s="4">
        <f t="shared" si="81"/>
        <v>9.4471490023716619E+58</v>
      </c>
      <c r="H1309" s="4">
        <f>SalaryFTECount*SalaryPerFTE*(1+SalaryGrowth)^1307</f>
        <v>3.844091869203749E+27</v>
      </c>
      <c r="I1309" s="4">
        <f>SimOpsY1*(1+SimOpsGrowth)^1307</f>
        <v>1.4520102300254922E+48</v>
      </c>
      <c r="J1309" s="4">
        <f>TrainDevY1*(1+TrainDevGrowth)^1307</f>
        <v>7.260051150127461E+47</v>
      </c>
      <c r="K1309" s="4">
        <f>AdminY1*(1+AdminGrowth)^1307</f>
        <v>2.3757235169105651E+37</v>
      </c>
      <c r="L1309" s="4">
        <f t="shared" si="82"/>
        <v>2.1780153450619957E+48</v>
      </c>
      <c r="M1309" s="4">
        <f t="shared" si="83"/>
        <v>9.4471490021538606E+58</v>
      </c>
    </row>
    <row r="1310" spans="1:13" x14ac:dyDescent="0.2">
      <c r="A1310" s="3">
        <f>StartYear+1308</f>
        <v>3333</v>
      </c>
      <c r="B1310" s="4">
        <f>FacultyFTE*HoursPerWeek*WeeksPerYear*RatePerHour*(1+PracticeGrowth)^1308</f>
        <v>1.4962207426758045E+33</v>
      </c>
      <c r="C1310" s="4">
        <f>StudentsY1*(1+StudentGrowth)^1308*CreditsPerStudent*TuitionPerCredit</f>
        <v>9.3513796417237796E+33</v>
      </c>
      <c r="D1310" s="4">
        <f>SimRevY1*(1+SimGrowth)^1308</f>
        <v>6.9279092684058845E+58</v>
      </c>
      <c r="E1310" s="4">
        <f>FacDevRevY1*(1+FacDevGrowth)^1308</f>
        <v>3.4639546342029422E+58</v>
      </c>
      <c r="F1310" s="4">
        <f t="shared" si="80"/>
        <v>1.0391863902608827E+59</v>
      </c>
      <c r="G1310" s="4">
        <f t="shared" si="81"/>
        <v>1.0391863902608827E+59</v>
      </c>
      <c r="H1310" s="4">
        <f>SalaryFTECount*SalaryPerFTE*(1+SalaryGrowth)^1308</f>
        <v>3.9978555439718989E+27</v>
      </c>
      <c r="I1310" s="4">
        <f>SimOpsY1*(1+SimOpsGrowth)^1308</f>
        <v>1.5681710484275313E+48</v>
      </c>
      <c r="J1310" s="4">
        <f>TrainDevY1*(1+TrainDevGrowth)^1308</f>
        <v>7.8408552421376566E+47</v>
      </c>
      <c r="K1310" s="4">
        <f>AdminY1*(1+AdminGrowth)^1308</f>
        <v>2.5182669279251985E+37</v>
      </c>
      <c r="L1310" s="4">
        <f t="shared" si="82"/>
        <v>2.3522565726664796E+48</v>
      </c>
      <c r="M1310" s="4">
        <f t="shared" si="83"/>
        <v>1.0391863902373601E+59</v>
      </c>
    </row>
    <row r="1311" spans="1:13" x14ac:dyDescent="0.2">
      <c r="A1311" s="3">
        <f>StartYear+1309</f>
        <v>3334</v>
      </c>
      <c r="B1311" s="4">
        <f>FacultyFTE*HoursPerWeek*WeeksPerYear*RatePerHour*(1+PracticeGrowth)^1309</f>
        <v>1.571031779809595E+33</v>
      </c>
      <c r="C1311" s="4">
        <f>StudentsY1*(1+StudentGrowth)^1309*CreditsPerStudent*TuitionPerCredit</f>
        <v>9.8189486238099702E+33</v>
      </c>
      <c r="D1311" s="4">
        <f>SimRevY1*(1+SimGrowth)^1309</f>
        <v>7.6207001952464726E+58</v>
      </c>
      <c r="E1311" s="4">
        <f>FacDevRevY1*(1+FacDevGrowth)^1309</f>
        <v>3.8103500976232363E+58</v>
      </c>
      <c r="F1311" s="4">
        <f t="shared" si="80"/>
        <v>1.143105029286971E+59</v>
      </c>
      <c r="G1311" s="4">
        <f t="shared" si="81"/>
        <v>1.143105029286971E+59</v>
      </c>
      <c r="H1311" s="4">
        <f>SalaryFTECount*SalaryPerFTE*(1+SalaryGrowth)^1309</f>
        <v>4.1577697657307751E+27</v>
      </c>
      <c r="I1311" s="4">
        <f>SimOpsY1*(1+SimOpsGrowth)^1309</f>
        <v>1.6936247323017342E+48</v>
      </c>
      <c r="J1311" s="4">
        <f>TrainDevY1*(1+TrainDevGrowth)^1309</f>
        <v>8.4681236615086712E+47</v>
      </c>
      <c r="K1311" s="4">
        <f>AdminY1*(1+AdminGrowth)^1309</f>
        <v>2.6693629436007108E+37</v>
      </c>
      <c r="L1311" s="4">
        <f t="shared" si="82"/>
        <v>2.540437098479295E+48</v>
      </c>
      <c r="M1311" s="4">
        <f t="shared" si="83"/>
        <v>1.1431050292615667E+59</v>
      </c>
    </row>
    <row r="1312" spans="1:13" x14ac:dyDescent="0.2">
      <c r="A1312" s="3">
        <f>StartYear+1310</f>
        <v>3335</v>
      </c>
      <c r="B1312" s="4">
        <f>FacultyFTE*HoursPerWeek*WeeksPerYear*RatePerHour*(1+PracticeGrowth)^1310</f>
        <v>1.6495833688000742E+33</v>
      </c>
      <c r="C1312" s="4">
        <f>StudentsY1*(1+StudentGrowth)^1310*CreditsPerStudent*TuitionPerCredit</f>
        <v>1.0309896055000464E+34</v>
      </c>
      <c r="D1312" s="4">
        <f>SimRevY1*(1+SimGrowth)^1310</f>
        <v>8.3827702147711223E+58</v>
      </c>
      <c r="E1312" s="4">
        <f>FacDevRevY1*(1+FacDevGrowth)^1310</f>
        <v>4.1913851073855611E+58</v>
      </c>
      <c r="F1312" s="4">
        <f t="shared" si="80"/>
        <v>1.2574155322156685E+59</v>
      </c>
      <c r="G1312" s="4">
        <f t="shared" si="81"/>
        <v>1.2574155322156685E+59</v>
      </c>
      <c r="H1312" s="4">
        <f>SalaryFTECount*SalaryPerFTE*(1+SalaryGrowth)^1310</f>
        <v>4.3240805563600063E+27</v>
      </c>
      <c r="I1312" s="4">
        <f>SimOpsY1*(1+SimOpsGrowth)^1310</f>
        <v>1.8291147108858733E+48</v>
      </c>
      <c r="J1312" s="4">
        <f>TrainDevY1*(1+TrainDevGrowth)^1310</f>
        <v>9.1455735544293666E+47</v>
      </c>
      <c r="K1312" s="4">
        <f>AdminY1*(1+AdminGrowth)^1310</f>
        <v>2.8295247202167532E+37</v>
      </c>
      <c r="L1312" s="4">
        <f t="shared" si="82"/>
        <v>2.7436720663571051E+48</v>
      </c>
      <c r="M1312" s="4">
        <f t="shared" si="83"/>
        <v>1.2574155321882316E+59</v>
      </c>
    </row>
    <row r="1313" spans="1:13" x14ac:dyDescent="0.2">
      <c r="A1313" s="3">
        <f>StartYear+1311</f>
        <v>3336</v>
      </c>
      <c r="B1313" s="4">
        <f>FacultyFTE*HoursPerWeek*WeeksPerYear*RatePerHour*(1+PracticeGrowth)^1311</f>
        <v>1.7320625372400789E+33</v>
      </c>
      <c r="C1313" s="4">
        <f>StudentsY1*(1+StudentGrowth)^1311*CreditsPerStudent*TuitionPerCredit</f>
        <v>1.0825390857750493E+34</v>
      </c>
      <c r="D1313" s="4">
        <f>SimRevY1*(1+SimGrowth)^1311</f>
        <v>9.2210472362482336E+58</v>
      </c>
      <c r="E1313" s="4">
        <f>FacDevRevY1*(1+FacDevGrowth)^1311</f>
        <v>4.6105236181241168E+58</v>
      </c>
      <c r="F1313" s="4">
        <f t="shared" si="80"/>
        <v>1.383157085437235E+59</v>
      </c>
      <c r="G1313" s="4">
        <f t="shared" si="81"/>
        <v>1.383157085437235E+59</v>
      </c>
      <c r="H1313" s="4">
        <f>SalaryFTECount*SalaryPerFTE*(1+SalaryGrowth)^1311</f>
        <v>4.4970437786144065E+27</v>
      </c>
      <c r="I1313" s="4">
        <f>SimOpsY1*(1+SimOpsGrowth)^1311</f>
        <v>1.9754438877567435E+48</v>
      </c>
      <c r="J1313" s="4">
        <f>TrainDevY1*(1+TrainDevGrowth)^1311</f>
        <v>9.8772194387837175E+47</v>
      </c>
      <c r="K1313" s="4">
        <f>AdminY1*(1+AdminGrowth)^1311</f>
        <v>2.9992962034297596E+37</v>
      </c>
      <c r="L1313" s="4">
        <f t="shared" si="82"/>
        <v>2.9631658316651079E+48</v>
      </c>
      <c r="M1313" s="4">
        <f t="shared" si="83"/>
        <v>1.3831570854076033E+59</v>
      </c>
    </row>
    <row r="1314" spans="1:13" x14ac:dyDescent="0.2">
      <c r="A1314" s="3">
        <f>StartYear+1312</f>
        <v>3337</v>
      </c>
      <c r="B1314" s="4">
        <f>FacultyFTE*HoursPerWeek*WeeksPerYear*RatePerHour*(1+PracticeGrowth)^1312</f>
        <v>1.8186656641020826E+33</v>
      </c>
      <c r="C1314" s="4">
        <f>StudentsY1*(1+StudentGrowth)^1312*CreditsPerStudent*TuitionPerCredit</f>
        <v>1.1366660400638017E+34</v>
      </c>
      <c r="D1314" s="4">
        <f>SimRevY1*(1+SimGrowth)^1312</f>
        <v>1.0143151959873058E+59</v>
      </c>
      <c r="E1314" s="4">
        <f>FacDevRevY1*(1+FacDevGrowth)^1312</f>
        <v>5.0715759799365291E+58</v>
      </c>
      <c r="F1314" s="4">
        <f t="shared" si="80"/>
        <v>1.5214727939809587E+59</v>
      </c>
      <c r="G1314" s="4">
        <f t="shared" si="81"/>
        <v>1.5214727939809587E+59</v>
      </c>
      <c r="H1314" s="4">
        <f>SalaryFTECount*SalaryPerFTE*(1+SalaryGrowth)^1312</f>
        <v>4.6769255297589828E+27</v>
      </c>
      <c r="I1314" s="4">
        <f>SimOpsY1*(1+SimOpsGrowth)^1312</f>
        <v>2.1334793987772828E+48</v>
      </c>
      <c r="J1314" s="4">
        <f>TrainDevY1*(1+TrainDevGrowth)^1312</f>
        <v>1.0667396993886414E+48</v>
      </c>
      <c r="K1314" s="4">
        <f>AdminY1*(1+AdminGrowth)^1312</f>
        <v>3.1792539756355445E+37</v>
      </c>
      <c r="L1314" s="4">
        <f t="shared" si="82"/>
        <v>3.2002190981977168E+48</v>
      </c>
      <c r="M1314" s="4">
        <f t="shared" si="83"/>
        <v>1.5214727939489565E+59</v>
      </c>
    </row>
    <row r="1315" spans="1:13" x14ac:dyDescent="0.2">
      <c r="A1315" s="3">
        <f>StartYear+1313</f>
        <v>3338</v>
      </c>
      <c r="B1315" s="4">
        <f>FacultyFTE*HoursPerWeek*WeeksPerYear*RatePerHour*(1+PracticeGrowth)^1313</f>
        <v>1.9095989473071869E+33</v>
      </c>
      <c r="C1315" s="4">
        <f>StudentsY1*(1+StudentGrowth)^1313*CreditsPerStudent*TuitionPerCredit</f>
        <v>1.1934993420669918E+34</v>
      </c>
      <c r="D1315" s="4">
        <f>SimRevY1*(1+SimGrowth)^1313</f>
        <v>1.1157467155860364E+59</v>
      </c>
      <c r="E1315" s="4">
        <f>FacDevRevY1*(1+FacDevGrowth)^1313</f>
        <v>5.578733577930182E+58</v>
      </c>
      <c r="F1315" s="4">
        <f t="shared" si="80"/>
        <v>1.6736200733790546E+59</v>
      </c>
      <c r="G1315" s="4">
        <f t="shared" si="81"/>
        <v>1.6736200733790546E+59</v>
      </c>
      <c r="H1315" s="4">
        <f>SalaryFTECount*SalaryPerFTE*(1+SalaryGrowth)^1313</f>
        <v>4.864002550949342E+27</v>
      </c>
      <c r="I1315" s="4">
        <f>SimOpsY1*(1+SimOpsGrowth)^1313</f>
        <v>2.3041577506794654E+48</v>
      </c>
      <c r="J1315" s="4">
        <f>TrainDevY1*(1+TrainDevGrowth)^1313</f>
        <v>1.1520788753397327E+48</v>
      </c>
      <c r="K1315" s="4">
        <f>AdminY1*(1+AdminGrowth)^1313</f>
        <v>3.3700092141736771E+37</v>
      </c>
      <c r="L1315" s="4">
        <f t="shared" si="82"/>
        <v>3.4562366260528984E+48</v>
      </c>
      <c r="M1315" s="4">
        <f t="shared" si="83"/>
        <v>1.6736200733444922E+59</v>
      </c>
    </row>
    <row r="1316" spans="1:13" x14ac:dyDescent="0.2">
      <c r="A1316" s="3">
        <f>StartYear+1314</f>
        <v>3339</v>
      </c>
      <c r="B1316" s="4">
        <f>FacultyFTE*HoursPerWeek*WeeksPerYear*RatePerHour*(1+PracticeGrowth)^1314</f>
        <v>2.0050788946725461E+33</v>
      </c>
      <c r="C1316" s="4">
        <f>StudentsY1*(1+StudentGrowth)^1314*CreditsPerStudent*TuitionPerCredit</f>
        <v>1.2531743091703411E+34</v>
      </c>
      <c r="D1316" s="4">
        <f>SimRevY1*(1+SimGrowth)^1314</f>
        <v>1.2273213871446403E+59</v>
      </c>
      <c r="E1316" s="4">
        <f>FacDevRevY1*(1+FacDevGrowth)^1314</f>
        <v>6.1366069357232015E+58</v>
      </c>
      <c r="F1316" s="4">
        <f t="shared" si="80"/>
        <v>1.8409820807169605E+59</v>
      </c>
      <c r="G1316" s="4">
        <f t="shared" si="81"/>
        <v>1.8409820807169605E+59</v>
      </c>
      <c r="H1316" s="4">
        <f>SalaryFTECount*SalaryPerFTE*(1+SalaryGrowth)^1314</f>
        <v>5.0585626529873164E+27</v>
      </c>
      <c r="I1316" s="4">
        <f>SimOpsY1*(1+SimOpsGrowth)^1314</f>
        <v>2.4884903707338227E+48</v>
      </c>
      <c r="J1316" s="4">
        <f>TrainDevY1*(1+TrainDevGrowth)^1314</f>
        <v>1.2442451853669114E+48</v>
      </c>
      <c r="K1316" s="4">
        <f>AdminY1*(1+AdminGrowth)^1314</f>
        <v>3.5722097670240983E+37</v>
      </c>
      <c r="L1316" s="4">
        <f t="shared" si="82"/>
        <v>3.7327355561364566E+48</v>
      </c>
      <c r="M1316" s="4">
        <f t="shared" si="83"/>
        <v>1.840982080679633E+59</v>
      </c>
    </row>
    <row r="1317" spans="1:13" x14ac:dyDescent="0.2">
      <c r="A1317" s="3">
        <f>StartYear+1315</f>
        <v>3340</v>
      </c>
      <c r="B1317" s="4">
        <f>FacultyFTE*HoursPerWeek*WeeksPerYear*RatePerHour*(1+PracticeGrowth)^1315</f>
        <v>2.1053328394061739E+33</v>
      </c>
      <c r="C1317" s="4">
        <f>StudentsY1*(1+StudentGrowth)^1315*CreditsPerStudent*TuitionPerCredit</f>
        <v>1.3158330246288584E+34</v>
      </c>
      <c r="D1317" s="4">
        <f>SimRevY1*(1+SimGrowth)^1315</f>
        <v>1.3500535258591043E+59</v>
      </c>
      <c r="E1317" s="4">
        <f>FacDevRevY1*(1+FacDevGrowth)^1315</f>
        <v>6.7502676292955213E+58</v>
      </c>
      <c r="F1317" s="4">
        <f t="shared" si="80"/>
        <v>2.0250802887886564E+59</v>
      </c>
      <c r="G1317" s="4">
        <f t="shared" si="81"/>
        <v>2.0250802887886564E+59</v>
      </c>
      <c r="H1317" s="4">
        <f>SalaryFTECount*SalaryPerFTE*(1+SalaryGrowth)^1315</f>
        <v>5.2609051591068092E+27</v>
      </c>
      <c r="I1317" s="4">
        <f>SimOpsY1*(1+SimOpsGrowth)^1315</f>
        <v>2.6875696003925292E+48</v>
      </c>
      <c r="J1317" s="4">
        <f>TrainDevY1*(1+TrainDevGrowth)^1315</f>
        <v>1.3437848001962646E+48</v>
      </c>
      <c r="K1317" s="4">
        <f>AdminY1*(1+AdminGrowth)^1315</f>
        <v>3.7865423530455448E+37</v>
      </c>
      <c r="L1317" s="4">
        <f t="shared" si="82"/>
        <v>4.0313544006266591E+48</v>
      </c>
      <c r="M1317" s="4">
        <f t="shared" si="83"/>
        <v>2.0250802887483429E+59</v>
      </c>
    </row>
    <row r="1318" spans="1:13" x14ac:dyDescent="0.2">
      <c r="A1318" s="3">
        <f>StartYear+1316</f>
        <v>3341</v>
      </c>
      <c r="B1318" s="4">
        <f>FacultyFTE*HoursPerWeek*WeeksPerYear*RatePerHour*(1+PracticeGrowth)^1316</f>
        <v>2.2105994813764823E+33</v>
      </c>
      <c r="C1318" s="4">
        <f>StudentsY1*(1+StudentGrowth)^1316*CreditsPerStudent*TuitionPerCredit</f>
        <v>1.3816246758603015E+34</v>
      </c>
      <c r="D1318" s="4">
        <f>SimRevY1*(1+SimGrowth)^1316</f>
        <v>1.485058878445015E+59</v>
      </c>
      <c r="E1318" s="4">
        <f>FacDevRevY1*(1+FacDevGrowth)^1316</f>
        <v>7.4252943922250749E+58</v>
      </c>
      <c r="F1318" s="4">
        <f t="shared" si="80"/>
        <v>2.2275883176675224E+59</v>
      </c>
      <c r="G1318" s="4">
        <f t="shared" si="81"/>
        <v>2.2275883176675224E+59</v>
      </c>
      <c r="H1318" s="4">
        <f>SalaryFTECount*SalaryPerFTE*(1+SalaryGrowth)^1316</f>
        <v>5.4713413654710812E+27</v>
      </c>
      <c r="I1318" s="4">
        <f>SimOpsY1*(1+SimOpsGrowth)^1316</f>
        <v>2.9025751684239316E+48</v>
      </c>
      <c r="J1318" s="4">
        <f>TrainDevY1*(1+TrainDevGrowth)^1316</f>
        <v>1.4512875842119658E+48</v>
      </c>
      <c r="K1318" s="4">
        <f>AdminY1*(1+AdminGrowth)^1316</f>
        <v>4.0137348942282778E+37</v>
      </c>
      <c r="L1318" s="4">
        <f t="shared" si="82"/>
        <v>4.3538627526760344E+48</v>
      </c>
      <c r="M1318" s="4">
        <f t="shared" si="83"/>
        <v>2.2275883176239837E+59</v>
      </c>
    </row>
    <row r="1319" spans="1:13" x14ac:dyDescent="0.2">
      <c r="A1319" s="3">
        <f>StartYear+1317</f>
        <v>3342</v>
      </c>
      <c r="B1319" s="4">
        <f>FacultyFTE*HoursPerWeek*WeeksPerYear*RatePerHour*(1+PracticeGrowth)^1317</f>
        <v>2.3211294554453068E+33</v>
      </c>
      <c r="C1319" s="4">
        <f>StudentsY1*(1+StudentGrowth)^1317*CreditsPerStudent*TuitionPerCredit</f>
        <v>1.4507059096533168E+34</v>
      </c>
      <c r="D1319" s="4">
        <f>SimRevY1*(1+SimGrowth)^1317</f>
        <v>1.6335647662895167E+59</v>
      </c>
      <c r="E1319" s="4">
        <f>FacDevRevY1*(1+FacDevGrowth)^1317</f>
        <v>8.1678238314475834E+58</v>
      </c>
      <c r="F1319" s="4">
        <f t="shared" si="80"/>
        <v>2.4503471494342749E+59</v>
      </c>
      <c r="G1319" s="4">
        <f t="shared" si="81"/>
        <v>2.4503471494342749E+59</v>
      </c>
      <c r="H1319" s="4">
        <f>SalaryFTECount*SalaryPerFTE*(1+SalaryGrowth)^1317</f>
        <v>5.6901950200899264E+27</v>
      </c>
      <c r="I1319" s="4">
        <f>SimOpsY1*(1+SimOpsGrowth)^1317</f>
        <v>3.1347811818978456E+48</v>
      </c>
      <c r="J1319" s="4">
        <f>TrainDevY1*(1+TrainDevGrowth)^1317</f>
        <v>1.5673905909489228E+48</v>
      </c>
      <c r="K1319" s="4">
        <f>AdminY1*(1+AdminGrowth)^1317</f>
        <v>4.2545589878819741E+37</v>
      </c>
      <c r="L1319" s="4">
        <f t="shared" si="82"/>
        <v>4.7021717728893144E+48</v>
      </c>
      <c r="M1319" s="4">
        <f t="shared" si="83"/>
        <v>2.4503471493872534E+59</v>
      </c>
    </row>
    <row r="1320" spans="1:13" x14ac:dyDescent="0.2">
      <c r="A1320" s="3">
        <f>StartYear+1318</f>
        <v>3343</v>
      </c>
      <c r="B1320" s="4">
        <f>FacultyFTE*HoursPerWeek*WeeksPerYear*RatePerHour*(1+PracticeGrowth)^1318</f>
        <v>2.4371859282175717E+33</v>
      </c>
      <c r="C1320" s="4">
        <f>StudentsY1*(1+StudentGrowth)^1318*CreditsPerStudent*TuitionPerCredit</f>
        <v>1.5232412051359821E+34</v>
      </c>
      <c r="D1320" s="4">
        <f>SimRevY1*(1+SimGrowth)^1318</f>
        <v>1.7969212429184683E+59</v>
      </c>
      <c r="E1320" s="4">
        <f>FacDevRevY1*(1+FacDevGrowth)^1318</f>
        <v>8.9846062145923417E+58</v>
      </c>
      <c r="F1320" s="4">
        <f t="shared" si="80"/>
        <v>2.6953818643777025E+59</v>
      </c>
      <c r="G1320" s="4">
        <f t="shared" si="81"/>
        <v>2.6953818643777025E+59</v>
      </c>
      <c r="H1320" s="4">
        <f>SalaryFTECount*SalaryPerFTE*(1+SalaryGrowth)^1318</f>
        <v>5.9178028208935217E+27</v>
      </c>
      <c r="I1320" s="4">
        <f>SimOpsY1*(1+SimOpsGrowth)^1318</f>
        <v>3.3855636764496739E+48</v>
      </c>
      <c r="J1320" s="4">
        <f>TrainDevY1*(1+TrainDevGrowth)^1318</f>
        <v>1.692781838224837E+48</v>
      </c>
      <c r="K1320" s="4">
        <f>AdminY1*(1+AdminGrowth)^1318</f>
        <v>4.5098325271548938E+37</v>
      </c>
      <c r="L1320" s="4">
        <f t="shared" si="82"/>
        <v>5.0783455147196095E+48</v>
      </c>
      <c r="M1320" s="4">
        <f t="shared" si="83"/>
        <v>2.6953818643269192E+59</v>
      </c>
    </row>
    <row r="1321" spans="1:13" x14ac:dyDescent="0.2">
      <c r="A1321" s="3">
        <f>StartYear+1319</f>
        <v>3344</v>
      </c>
      <c r="B1321" s="4">
        <f>FacultyFTE*HoursPerWeek*WeeksPerYear*RatePerHour*(1+PracticeGrowth)^1319</f>
        <v>2.5590452246284503E+33</v>
      </c>
      <c r="C1321" s="4">
        <f>StudentsY1*(1+StudentGrowth)^1319*CreditsPerStudent*TuitionPerCredit</f>
        <v>1.5994032653927815E+34</v>
      </c>
      <c r="D1321" s="4">
        <f>SimRevY1*(1+SimGrowth)^1319</f>
        <v>1.9766133672103156E+59</v>
      </c>
      <c r="E1321" s="4">
        <f>FacDevRevY1*(1+FacDevGrowth)^1319</f>
        <v>9.8830668360515779E+58</v>
      </c>
      <c r="F1321" s="4">
        <f t="shared" si="80"/>
        <v>2.9649200508154732E+59</v>
      </c>
      <c r="G1321" s="4">
        <f t="shared" si="81"/>
        <v>2.9649200508154732E+59</v>
      </c>
      <c r="H1321" s="4">
        <f>SalaryFTECount*SalaryPerFTE*(1+SalaryGrowth)^1319</f>
        <v>6.1545149337292638E+27</v>
      </c>
      <c r="I1321" s="4">
        <f>SimOpsY1*(1+SimOpsGrowth)^1319</f>
        <v>3.6564087705656481E+48</v>
      </c>
      <c r="J1321" s="4">
        <f>TrainDevY1*(1+TrainDevGrowth)^1319</f>
        <v>1.828204385282824E+48</v>
      </c>
      <c r="K1321" s="4">
        <f>AdminY1*(1+AdminGrowth)^1319</f>
        <v>4.7804224787841875E+37</v>
      </c>
      <c r="L1321" s="4">
        <f t="shared" si="82"/>
        <v>5.4846131558962763E+48</v>
      </c>
      <c r="M1321" s="4">
        <f t="shared" si="83"/>
        <v>2.9649200507606272E+59</v>
      </c>
    </row>
    <row r="1322" spans="1:13" x14ac:dyDescent="0.2">
      <c r="A1322" s="3">
        <f>StartYear+1320</f>
        <v>3345</v>
      </c>
      <c r="B1322" s="4">
        <f>FacultyFTE*HoursPerWeek*WeeksPerYear*RatePerHour*(1+PracticeGrowth)^1320</f>
        <v>2.6869974858598727E+33</v>
      </c>
      <c r="C1322" s="4">
        <f>StudentsY1*(1+StudentGrowth)^1320*CreditsPerStudent*TuitionPerCredit</f>
        <v>1.6793734286624204E+34</v>
      </c>
      <c r="D1322" s="4">
        <f>SimRevY1*(1+SimGrowth)^1320</f>
        <v>2.1742747039313467E+59</v>
      </c>
      <c r="E1322" s="4">
        <f>FacDevRevY1*(1+FacDevGrowth)^1320</f>
        <v>1.0871373519656734E+59</v>
      </c>
      <c r="F1322" s="4">
        <f t="shared" si="80"/>
        <v>3.2614120558970201E+59</v>
      </c>
      <c r="G1322" s="4">
        <f t="shared" si="81"/>
        <v>3.2614120558970201E+59</v>
      </c>
      <c r="H1322" s="4">
        <f>SalaryFTECount*SalaryPerFTE*(1+SalaryGrowth)^1320</f>
        <v>6.4006955310784353E+27</v>
      </c>
      <c r="I1322" s="4">
        <f>SimOpsY1*(1+SimOpsGrowth)^1320</f>
        <v>3.9489214722108999E+48</v>
      </c>
      <c r="J1322" s="4">
        <f>TrainDevY1*(1+TrainDevGrowth)^1320</f>
        <v>1.97446073610545E+48</v>
      </c>
      <c r="K1322" s="4">
        <f>AdminY1*(1+AdminGrowth)^1320</f>
        <v>5.067247827511238E+37</v>
      </c>
      <c r="L1322" s="4">
        <f t="shared" si="82"/>
        <v>5.9233822083670228E+48</v>
      </c>
      <c r="M1322" s="4">
        <f t="shared" si="83"/>
        <v>3.2614120558377862E+59</v>
      </c>
    </row>
    <row r="1323" spans="1:13" x14ac:dyDescent="0.2">
      <c r="A1323" s="3">
        <f>StartYear+1321</f>
        <v>3346</v>
      </c>
      <c r="B1323" s="4">
        <f>FacultyFTE*HoursPerWeek*WeeksPerYear*RatePerHour*(1+PracticeGrowth)^1321</f>
        <v>2.8213473601528664E+33</v>
      </c>
      <c r="C1323" s="4">
        <f>StudentsY1*(1+StudentGrowth)^1321*CreditsPerStudent*TuitionPerCredit</f>
        <v>1.7633421000955416E+34</v>
      </c>
      <c r="D1323" s="4">
        <f>SimRevY1*(1+SimGrowth)^1321</f>
        <v>2.3917021743244811E+59</v>
      </c>
      <c r="E1323" s="4">
        <f>FacDevRevY1*(1+FacDevGrowth)^1321</f>
        <v>1.1958510871622405E+59</v>
      </c>
      <c r="F1323" s="4">
        <f t="shared" si="80"/>
        <v>3.5875532614867216E+59</v>
      </c>
      <c r="G1323" s="4">
        <f t="shared" si="81"/>
        <v>3.5875532614867216E+59</v>
      </c>
      <c r="H1323" s="4">
        <f>SalaryFTECount*SalaryPerFTE*(1+SalaryGrowth)^1321</f>
        <v>6.6567233523215728E+27</v>
      </c>
      <c r="I1323" s="4">
        <f>SimOpsY1*(1+SimOpsGrowth)^1321</f>
        <v>4.2648351899877727E+48</v>
      </c>
      <c r="J1323" s="4">
        <f>TrainDevY1*(1+TrainDevGrowth)^1321</f>
        <v>2.1324175949938863E+48</v>
      </c>
      <c r="K1323" s="4">
        <f>AdminY1*(1+AdminGrowth)^1321</f>
        <v>5.3712826971619126E+37</v>
      </c>
      <c r="L1323" s="4">
        <f t="shared" si="82"/>
        <v>6.3972527850353714E+48</v>
      </c>
      <c r="M1323" s="4">
        <f t="shared" si="83"/>
        <v>3.5875532614227492E+59</v>
      </c>
    </row>
    <row r="1324" spans="1:13" x14ac:dyDescent="0.2">
      <c r="A1324" s="3">
        <f>StartYear+1322</f>
        <v>3347</v>
      </c>
      <c r="B1324" s="4">
        <f>FacultyFTE*HoursPerWeek*WeeksPerYear*RatePerHour*(1+PracticeGrowth)^1322</f>
        <v>2.96241472816051E+33</v>
      </c>
      <c r="C1324" s="4">
        <f>StudentsY1*(1+StudentGrowth)^1322*CreditsPerStudent*TuitionPerCredit</f>
        <v>1.851509205100319E+34</v>
      </c>
      <c r="D1324" s="4">
        <f>SimRevY1*(1+SimGrowth)^1322</f>
        <v>2.6308723917569299E+59</v>
      </c>
      <c r="E1324" s="4">
        <f>FacDevRevY1*(1+FacDevGrowth)^1322</f>
        <v>1.3154361958784649E+59</v>
      </c>
      <c r="F1324" s="4">
        <f t="shared" si="80"/>
        <v>3.9463085876353946E+59</v>
      </c>
      <c r="G1324" s="4">
        <f t="shared" si="81"/>
        <v>3.9463085876353946E+59</v>
      </c>
      <c r="H1324" s="4">
        <f>SalaryFTECount*SalaryPerFTE*(1+SalaryGrowth)^1322</f>
        <v>6.9229922864144359E+27</v>
      </c>
      <c r="I1324" s="4">
        <f>SimOpsY1*(1+SimOpsGrowth)^1322</f>
        <v>4.6060220051867937E+48</v>
      </c>
      <c r="J1324" s="4">
        <f>TrainDevY1*(1+TrainDevGrowth)^1322</f>
        <v>2.3030110025933969E+48</v>
      </c>
      <c r="K1324" s="4">
        <f>AdminY1*(1+AdminGrowth)^1322</f>
        <v>5.6935596589916282E+37</v>
      </c>
      <c r="L1324" s="4">
        <f t="shared" si="82"/>
        <v>6.9090330078371271E+48</v>
      </c>
      <c r="M1324" s="4">
        <f t="shared" si="83"/>
        <v>3.9463085875663042E+59</v>
      </c>
    </row>
    <row r="1325" spans="1:13" x14ac:dyDescent="0.2">
      <c r="A1325" s="3">
        <f>StartYear+1323</f>
        <v>3348</v>
      </c>
      <c r="B1325" s="4">
        <f>FacultyFTE*HoursPerWeek*WeeksPerYear*RatePerHour*(1+PracticeGrowth)^1323</f>
        <v>3.1105354645685359E+33</v>
      </c>
      <c r="C1325" s="4">
        <f>StudentsY1*(1+StudentGrowth)^1323*CreditsPerStudent*TuitionPerCredit</f>
        <v>1.9440846653553349E+34</v>
      </c>
      <c r="D1325" s="4">
        <f>SimRevY1*(1+SimGrowth)^1323</f>
        <v>2.8939596309326233E+59</v>
      </c>
      <c r="E1325" s="4">
        <f>FacDevRevY1*(1+FacDevGrowth)^1323</f>
        <v>1.4469798154663116E+59</v>
      </c>
      <c r="F1325" s="4">
        <f t="shared" si="80"/>
        <v>4.3409394463989347E+59</v>
      </c>
      <c r="G1325" s="4">
        <f t="shared" si="81"/>
        <v>4.3409394463989347E+59</v>
      </c>
      <c r="H1325" s="4">
        <f>SalaryFTECount*SalaryPerFTE*(1+SalaryGrowth)^1323</f>
        <v>7.1999119778710132E+27</v>
      </c>
      <c r="I1325" s="4">
        <f>SimOpsY1*(1+SimOpsGrowth)^1323</f>
        <v>4.9745037656017377E+48</v>
      </c>
      <c r="J1325" s="4">
        <f>TrainDevY1*(1+TrainDevGrowth)^1323</f>
        <v>2.4872518828008688E+48</v>
      </c>
      <c r="K1325" s="4">
        <f>AdminY1*(1+AdminGrowth)^1323</f>
        <v>6.0351732385311267E+37</v>
      </c>
      <c r="L1325" s="4">
        <f t="shared" si="82"/>
        <v>7.4617556484629579E+48</v>
      </c>
      <c r="M1325" s="4">
        <f t="shared" si="83"/>
        <v>4.3409394463243173E+59</v>
      </c>
    </row>
    <row r="1326" spans="1:13" x14ac:dyDescent="0.2">
      <c r="A1326" s="3">
        <f>StartYear+1324</f>
        <v>3349</v>
      </c>
      <c r="B1326" s="4">
        <f>FacultyFTE*HoursPerWeek*WeeksPerYear*RatePerHour*(1+PracticeGrowth)^1324</f>
        <v>3.2660622377969626E+33</v>
      </c>
      <c r="C1326" s="4">
        <f>StudentsY1*(1+StudentGrowth)^1324*CreditsPerStudent*TuitionPerCredit</f>
        <v>2.0412888986231017E+34</v>
      </c>
      <c r="D1326" s="4">
        <f>SimRevY1*(1+SimGrowth)^1324</f>
        <v>3.1833555940258856E+59</v>
      </c>
      <c r="E1326" s="4">
        <f>FacDevRevY1*(1+FacDevGrowth)^1324</f>
        <v>1.5916777970129428E+59</v>
      </c>
      <c r="F1326" s="4">
        <f t="shared" si="80"/>
        <v>4.7750333910388282E+59</v>
      </c>
      <c r="G1326" s="4">
        <f t="shared" si="81"/>
        <v>4.7750333910388282E+59</v>
      </c>
      <c r="H1326" s="4">
        <f>SalaryFTECount*SalaryPerFTE*(1+SalaryGrowth)^1324</f>
        <v>7.4879084569858556E+27</v>
      </c>
      <c r="I1326" s="4">
        <f>SimOpsY1*(1+SimOpsGrowth)^1324</f>
        <v>5.3724640668498775E+48</v>
      </c>
      <c r="J1326" s="4">
        <f>TrainDevY1*(1+TrainDevGrowth)^1324</f>
        <v>2.6862320334249387E+48</v>
      </c>
      <c r="K1326" s="4">
        <f>AdminY1*(1+AdminGrowth)^1324</f>
        <v>6.3972836328429938E+37</v>
      </c>
      <c r="L1326" s="4">
        <f t="shared" si="82"/>
        <v>8.0586961003387886E+48</v>
      </c>
      <c r="M1326" s="4">
        <f t="shared" si="83"/>
        <v>4.7750333909582414E+59</v>
      </c>
    </row>
    <row r="1327" spans="1:13" x14ac:dyDescent="0.2">
      <c r="A1327" s="3">
        <f>StartYear+1325</f>
        <v>3350</v>
      </c>
      <c r="B1327" s="4">
        <f>FacultyFTE*HoursPerWeek*WeeksPerYear*RatePerHour*(1+PracticeGrowth)^1325</f>
        <v>3.4293653496868108E+33</v>
      </c>
      <c r="C1327" s="4">
        <f>StudentsY1*(1+StudentGrowth)^1325*CreditsPerStudent*TuitionPerCredit</f>
        <v>2.1433533435542568E+34</v>
      </c>
      <c r="D1327" s="4">
        <f>SimRevY1*(1+SimGrowth)^1325</f>
        <v>3.5016911534284741E+59</v>
      </c>
      <c r="E1327" s="4">
        <f>FacDevRevY1*(1+FacDevGrowth)^1325</f>
        <v>1.750845576714237E+59</v>
      </c>
      <c r="F1327" s="4">
        <f t="shared" si="80"/>
        <v>5.2525367301427113E+59</v>
      </c>
      <c r="G1327" s="4">
        <f t="shared" si="81"/>
        <v>5.2525367301427113E+59</v>
      </c>
      <c r="H1327" s="4">
        <f>SalaryFTECount*SalaryPerFTE*(1+SalaryGrowth)^1325</f>
        <v>7.7874247952652882E+27</v>
      </c>
      <c r="I1327" s="4">
        <f>SimOpsY1*(1+SimOpsGrowth)^1325</f>
        <v>5.8022611921978665E+48</v>
      </c>
      <c r="J1327" s="4">
        <f>TrainDevY1*(1+TrainDevGrowth)^1325</f>
        <v>2.9011305960989332E+48</v>
      </c>
      <c r="K1327" s="4">
        <f>AdminY1*(1+AdminGrowth)^1325</f>
        <v>6.781120650813574E+37</v>
      </c>
      <c r="L1327" s="4">
        <f t="shared" si="82"/>
        <v>8.7033917883646108E+48</v>
      </c>
      <c r="M1327" s="4">
        <f t="shared" si="83"/>
        <v>5.2525367300556778E+59</v>
      </c>
    </row>
    <row r="1328" spans="1:13" x14ac:dyDescent="0.2">
      <c r="A1328" s="3">
        <f>StartYear+1326</f>
        <v>3351</v>
      </c>
      <c r="B1328" s="4">
        <f>FacultyFTE*HoursPerWeek*WeeksPerYear*RatePerHour*(1+PracticeGrowth)^1326</f>
        <v>3.6008336171711507E+33</v>
      </c>
      <c r="C1328" s="4">
        <f>StudentsY1*(1+StudentGrowth)^1326*CreditsPerStudent*TuitionPerCredit</f>
        <v>2.250521010731969E+34</v>
      </c>
      <c r="D1328" s="4">
        <f>SimRevY1*(1+SimGrowth)^1326</f>
        <v>3.8518602687713229E+59</v>
      </c>
      <c r="E1328" s="4">
        <f>FacDevRevY1*(1+FacDevGrowth)^1326</f>
        <v>1.9259301343856614E+59</v>
      </c>
      <c r="F1328" s="4">
        <f t="shared" si="80"/>
        <v>5.7777904031569841E+59</v>
      </c>
      <c r="G1328" s="4">
        <f t="shared" si="81"/>
        <v>5.7777904031569841E+59</v>
      </c>
      <c r="H1328" s="4">
        <f>SalaryFTECount*SalaryPerFTE*(1+SalaryGrowth)^1326</f>
        <v>8.0989217870759004E+27</v>
      </c>
      <c r="I1328" s="4">
        <f>SimOpsY1*(1+SimOpsGrowth)^1326</f>
        <v>6.2664420875736973E+48</v>
      </c>
      <c r="J1328" s="4">
        <f>TrainDevY1*(1+TrainDevGrowth)^1326</f>
        <v>3.1332210437868487E+48</v>
      </c>
      <c r="K1328" s="4">
        <f>AdminY1*(1+AdminGrowth)^1326</f>
        <v>7.1879878898623888E+37</v>
      </c>
      <c r="L1328" s="4">
        <f t="shared" si="82"/>
        <v>9.3996631314324255E+48</v>
      </c>
      <c r="M1328" s="4">
        <f t="shared" si="83"/>
        <v>5.7777904030629873E+59</v>
      </c>
    </row>
    <row r="1329" spans="1:13" x14ac:dyDescent="0.2">
      <c r="A1329" s="3">
        <f>StartYear+1327</f>
        <v>3352</v>
      </c>
      <c r="B1329" s="4">
        <f>FacultyFTE*HoursPerWeek*WeeksPerYear*RatePerHour*(1+PracticeGrowth)^1327</f>
        <v>3.7808752980297088E+33</v>
      </c>
      <c r="C1329" s="4">
        <f>StudentsY1*(1+StudentGrowth)^1327*CreditsPerStudent*TuitionPerCredit</f>
        <v>2.3630470612685677E+34</v>
      </c>
      <c r="D1329" s="4">
        <f>SimRevY1*(1+SimGrowth)^1327</f>
        <v>4.2370462956484551E+59</v>
      </c>
      <c r="E1329" s="4">
        <f>FacDevRevY1*(1+FacDevGrowth)^1327</f>
        <v>2.1185231478242276E+59</v>
      </c>
      <c r="F1329" s="4">
        <f t="shared" si="80"/>
        <v>6.3555694434726827E+59</v>
      </c>
      <c r="G1329" s="4">
        <f t="shared" si="81"/>
        <v>6.3555694434726827E+59</v>
      </c>
      <c r="H1329" s="4">
        <f>SalaryFTECount*SalaryPerFTE*(1+SalaryGrowth)^1327</f>
        <v>8.4228786585589367E+27</v>
      </c>
      <c r="I1329" s="4">
        <f>SimOpsY1*(1+SimOpsGrowth)^1327</f>
        <v>6.7677574545795949E+48</v>
      </c>
      <c r="J1329" s="4">
        <f>TrainDevY1*(1+TrainDevGrowth)^1327</f>
        <v>3.3838787272897974E+48</v>
      </c>
      <c r="K1329" s="4">
        <f>AdminY1*(1+AdminGrowth)^1327</f>
        <v>7.6192671632541351E+37</v>
      </c>
      <c r="L1329" s="4">
        <f t="shared" si="82"/>
        <v>1.0151636181945585E+49</v>
      </c>
      <c r="M1329" s="4">
        <f t="shared" si="83"/>
        <v>6.3555694433711661E+59</v>
      </c>
    </row>
    <row r="1330" spans="1:13" x14ac:dyDescent="0.2">
      <c r="A1330" s="3">
        <f>StartYear+1328</f>
        <v>3353</v>
      </c>
      <c r="B1330" s="4">
        <f>FacultyFTE*HoursPerWeek*WeeksPerYear*RatePerHour*(1+PracticeGrowth)^1328</f>
        <v>3.9699190629311942E+33</v>
      </c>
      <c r="C1330" s="4">
        <f>StudentsY1*(1+StudentGrowth)^1328*CreditsPerStudent*TuitionPerCredit</f>
        <v>2.4811994143319957E+34</v>
      </c>
      <c r="D1330" s="4">
        <f>SimRevY1*(1+SimGrowth)^1328</f>
        <v>4.6607509252132999E+59</v>
      </c>
      <c r="E1330" s="4">
        <f>FacDevRevY1*(1+FacDevGrowth)^1328</f>
        <v>2.33037546260665E+59</v>
      </c>
      <c r="F1330" s="4">
        <f t="shared" si="80"/>
        <v>6.9911263878199499E+59</v>
      </c>
      <c r="G1330" s="4">
        <f t="shared" si="81"/>
        <v>6.9911263878199499E+59</v>
      </c>
      <c r="H1330" s="4">
        <f>SalaryFTECount*SalaryPerFTE*(1+SalaryGrowth)^1328</f>
        <v>8.7597938049012954E+27</v>
      </c>
      <c r="I1330" s="4">
        <f>SimOpsY1*(1+SimOpsGrowth)^1328</f>
        <v>7.3091780509459612E+48</v>
      </c>
      <c r="J1330" s="4">
        <f>TrainDevY1*(1+TrainDevGrowth)^1328</f>
        <v>3.6545890254729806E+48</v>
      </c>
      <c r="K1330" s="4">
        <f>AdminY1*(1+AdminGrowth)^1328</f>
        <v>8.0764231930493816E+37</v>
      </c>
      <c r="L1330" s="4">
        <f t="shared" si="82"/>
        <v>1.0963767076499707E+49</v>
      </c>
      <c r="M1330" s="4">
        <f t="shared" si="83"/>
        <v>6.9911263877103123E+59</v>
      </c>
    </row>
    <row r="1331" spans="1:13" x14ac:dyDescent="0.2">
      <c r="A1331" s="3">
        <f>StartYear+1329</f>
        <v>3354</v>
      </c>
      <c r="B1331" s="4">
        <f>FacultyFTE*HoursPerWeek*WeeksPerYear*RatePerHour*(1+PracticeGrowth)^1329</f>
        <v>4.1684150160777542E+33</v>
      </c>
      <c r="C1331" s="4">
        <f>StudentsY1*(1+StudentGrowth)^1329*CreditsPerStudent*TuitionPerCredit</f>
        <v>2.6052593850485964E+34</v>
      </c>
      <c r="D1331" s="4">
        <f>SimRevY1*(1+SimGrowth)^1329</f>
        <v>5.1268260177346304E+59</v>
      </c>
      <c r="E1331" s="4">
        <f>FacDevRevY1*(1+FacDevGrowth)^1329</f>
        <v>2.5634130088673152E+59</v>
      </c>
      <c r="F1331" s="4">
        <f t="shared" si="80"/>
        <v>7.6902390266019457E+59</v>
      </c>
      <c r="G1331" s="4">
        <f t="shared" si="81"/>
        <v>7.6902390266019457E+59</v>
      </c>
      <c r="H1331" s="4">
        <f>SalaryFTECount*SalaryPerFTE*(1+SalaryGrowth)^1329</f>
        <v>9.1101855570973484E+27</v>
      </c>
      <c r="I1331" s="4">
        <f>SimOpsY1*(1+SimOpsGrowth)^1329</f>
        <v>7.8939122950216377E+48</v>
      </c>
      <c r="J1331" s="4">
        <f>TrainDevY1*(1+TrainDevGrowth)^1329</f>
        <v>3.9469561475108188E+48</v>
      </c>
      <c r="K1331" s="4">
        <f>AdminY1*(1+AdminGrowth)^1329</f>
        <v>8.5610085846323442E+37</v>
      </c>
      <c r="L1331" s="4">
        <f t="shared" si="82"/>
        <v>1.1840868442618067E+49</v>
      </c>
      <c r="M1331" s="4">
        <f t="shared" si="83"/>
        <v>7.6902390264835367E+59</v>
      </c>
    </row>
    <row r="1332" spans="1:13" x14ac:dyDescent="0.2">
      <c r="A1332" s="3">
        <f>StartYear+1330</f>
        <v>3355</v>
      </c>
      <c r="B1332" s="4">
        <f>FacultyFTE*HoursPerWeek*WeeksPerYear*RatePerHour*(1+PracticeGrowth)^1330</f>
        <v>4.3768357668816425E+33</v>
      </c>
      <c r="C1332" s="4">
        <f>StudentsY1*(1+StudentGrowth)^1330*CreditsPerStudent*TuitionPerCredit</f>
        <v>2.7355223543010263E+34</v>
      </c>
      <c r="D1332" s="4">
        <f>SimRevY1*(1+SimGrowth)^1330</f>
        <v>5.6395086195080949E+59</v>
      </c>
      <c r="E1332" s="4">
        <f>FacDevRevY1*(1+FacDevGrowth)^1330</f>
        <v>2.8197543097540475E+59</v>
      </c>
      <c r="F1332" s="4">
        <f t="shared" si="80"/>
        <v>8.4592629292621433E+59</v>
      </c>
      <c r="G1332" s="4">
        <f t="shared" si="81"/>
        <v>8.4592629292621433E+59</v>
      </c>
      <c r="H1332" s="4">
        <f>SalaryFTECount*SalaryPerFTE*(1+SalaryGrowth)^1330</f>
        <v>9.4745929793812417E+27</v>
      </c>
      <c r="I1332" s="4">
        <f>SimOpsY1*(1+SimOpsGrowth)^1330</f>
        <v>8.5254252786233704E+48</v>
      </c>
      <c r="J1332" s="4">
        <f>TrainDevY1*(1+TrainDevGrowth)^1330</f>
        <v>4.2627126393116852E+48</v>
      </c>
      <c r="K1332" s="4">
        <f>AdminY1*(1+AdminGrowth)^1330</f>
        <v>9.0746690997102834E+37</v>
      </c>
      <c r="L1332" s="4">
        <f t="shared" si="82"/>
        <v>1.2788137918025802E+49</v>
      </c>
      <c r="M1332" s="4">
        <f t="shared" si="83"/>
        <v>8.4592629291342619E+59</v>
      </c>
    </row>
    <row r="1333" spans="1:13" x14ac:dyDescent="0.2">
      <c r="A1333" s="3">
        <f>StartYear+1331</f>
        <v>3356</v>
      </c>
      <c r="B1333" s="4">
        <f>FacultyFTE*HoursPerWeek*WeeksPerYear*RatePerHour*(1+PracticeGrowth)^1331</f>
        <v>4.5956775552257241E+33</v>
      </c>
      <c r="C1333" s="4">
        <f>StudentsY1*(1+StudentGrowth)^1331*CreditsPerStudent*TuitionPerCredit</f>
        <v>2.8722984720160774E+34</v>
      </c>
      <c r="D1333" s="4">
        <f>SimRevY1*(1+SimGrowth)^1331</f>
        <v>6.2034594814589044E+59</v>
      </c>
      <c r="E1333" s="4">
        <f>FacDevRevY1*(1+FacDevGrowth)^1331</f>
        <v>3.1017297407294522E+59</v>
      </c>
      <c r="F1333" s="4">
        <f t="shared" si="80"/>
        <v>9.3051892221883562E+59</v>
      </c>
      <c r="G1333" s="4">
        <f t="shared" si="81"/>
        <v>9.3051892221883562E+59</v>
      </c>
      <c r="H1333" s="4">
        <f>SalaryFTECount*SalaryPerFTE*(1+SalaryGrowth)^1331</f>
        <v>9.8535766985564926E+27</v>
      </c>
      <c r="I1333" s="4">
        <f>SimOpsY1*(1+SimOpsGrowth)^1331</f>
        <v>9.2074593009132406E+48</v>
      </c>
      <c r="J1333" s="4">
        <f>TrainDevY1*(1+TrainDevGrowth)^1331</f>
        <v>4.6037296504566203E+48</v>
      </c>
      <c r="K1333" s="4">
        <f>AdminY1*(1+AdminGrowth)^1331</f>
        <v>9.6191492456929035E+37</v>
      </c>
      <c r="L1333" s="4">
        <f t="shared" si="82"/>
        <v>1.3811188951466052E+49</v>
      </c>
      <c r="M1333" s="4">
        <f t="shared" si="83"/>
        <v>9.305189222050245E+59</v>
      </c>
    </row>
    <row r="1334" spans="1:13" x14ac:dyDescent="0.2">
      <c r="A1334" s="3">
        <f>StartYear+1332</f>
        <v>3357</v>
      </c>
      <c r="B1334" s="4">
        <f>FacultyFTE*HoursPerWeek*WeeksPerYear*RatePerHour*(1+PracticeGrowth)^1332</f>
        <v>4.8254614329870102E+33</v>
      </c>
      <c r="C1334" s="4">
        <f>StudentsY1*(1+StudentGrowth)^1332*CreditsPerStudent*TuitionPerCredit</f>
        <v>3.0159133956168815E+34</v>
      </c>
      <c r="D1334" s="4">
        <f>SimRevY1*(1+SimGrowth)^1332</f>
        <v>6.8238054296047956E+59</v>
      </c>
      <c r="E1334" s="4">
        <f>FacDevRevY1*(1+FacDevGrowth)^1332</f>
        <v>3.4119027148023978E+59</v>
      </c>
      <c r="F1334" s="4">
        <f t="shared" si="80"/>
        <v>1.0235708144407193E+60</v>
      </c>
      <c r="G1334" s="4">
        <f t="shared" si="81"/>
        <v>1.0235708144407193E+60</v>
      </c>
      <c r="H1334" s="4">
        <f>SalaryFTECount*SalaryPerFTE*(1+SalaryGrowth)^1332</f>
        <v>1.0247719766498752E+28</v>
      </c>
      <c r="I1334" s="4">
        <f>SimOpsY1*(1+SimOpsGrowth)^1332</f>
        <v>9.944056044986298E+48</v>
      </c>
      <c r="J1334" s="4">
        <f>TrainDevY1*(1+TrainDevGrowth)^1332</f>
        <v>4.972028022493149E+48</v>
      </c>
      <c r="K1334" s="4">
        <f>AdminY1*(1+AdminGrowth)^1332</f>
        <v>1.0196298200434476E+38</v>
      </c>
      <c r="L1334" s="4">
        <f t="shared" si="82"/>
        <v>1.491608406758141E+49</v>
      </c>
      <c r="M1334" s="4">
        <f t="shared" si="83"/>
        <v>1.0235708144258031E+60</v>
      </c>
    </row>
    <row r="1335" spans="1:13" x14ac:dyDescent="0.2">
      <c r="A1335" s="3">
        <f>StartYear+1333</f>
        <v>3358</v>
      </c>
      <c r="B1335" s="4">
        <f>FacultyFTE*HoursPerWeek*WeeksPerYear*RatePerHour*(1+PracticeGrowth)^1333</f>
        <v>5.0667345046363604E+33</v>
      </c>
      <c r="C1335" s="4">
        <f>StudentsY1*(1+StudentGrowth)^1333*CreditsPerStudent*TuitionPerCredit</f>
        <v>3.1667090653977257E+34</v>
      </c>
      <c r="D1335" s="4">
        <f>SimRevY1*(1+SimGrowth)^1333</f>
        <v>7.5061859725652753E+59</v>
      </c>
      <c r="E1335" s="4">
        <f>FacDevRevY1*(1+FacDevGrowth)^1333</f>
        <v>3.7530929862826376E+59</v>
      </c>
      <c r="F1335" s="4">
        <f t="shared" si="80"/>
        <v>1.1259278958847912E+60</v>
      </c>
      <c r="G1335" s="4">
        <f t="shared" si="81"/>
        <v>1.1259278958847912E+60</v>
      </c>
      <c r="H1335" s="4">
        <f>SalaryFTECount*SalaryPerFTE*(1+SalaryGrowth)^1333</f>
        <v>1.0657628557158705E+28</v>
      </c>
      <c r="I1335" s="4">
        <f>SimOpsY1*(1+SimOpsGrowth)^1333</f>
        <v>1.0739580528585202E+49</v>
      </c>
      <c r="J1335" s="4">
        <f>TrainDevY1*(1+TrainDevGrowth)^1333</f>
        <v>5.3697902642926012E+48</v>
      </c>
      <c r="K1335" s="4">
        <f>AdminY1*(1+AdminGrowth)^1333</f>
        <v>1.0808076092460548E+38</v>
      </c>
      <c r="L1335" s="4">
        <f t="shared" si="82"/>
        <v>1.6109370792985884E+49</v>
      </c>
      <c r="M1335" s="4">
        <f t="shared" si="83"/>
        <v>1.1259278958686819E+60</v>
      </c>
    </row>
    <row r="1336" spans="1:13" x14ac:dyDescent="0.2">
      <c r="A1336" s="3">
        <f>StartYear+1334</f>
        <v>3359</v>
      </c>
      <c r="B1336" s="4">
        <f>FacultyFTE*HoursPerWeek*WeeksPerYear*RatePerHour*(1+PracticeGrowth)^1334</f>
        <v>5.3200712298681787E+33</v>
      </c>
      <c r="C1336" s="4">
        <f>StudentsY1*(1+StudentGrowth)^1334*CreditsPerStudent*TuitionPerCredit</f>
        <v>3.3250445186676117E+34</v>
      </c>
      <c r="D1336" s="4">
        <f>SimRevY1*(1+SimGrowth)^1334</f>
        <v>8.2568045698218034E+59</v>
      </c>
      <c r="E1336" s="4">
        <f>FacDevRevY1*(1+FacDevGrowth)^1334</f>
        <v>4.1284022849109017E+59</v>
      </c>
      <c r="F1336" s="4">
        <f t="shared" si="80"/>
        <v>1.2385206854732705E+60</v>
      </c>
      <c r="G1336" s="4">
        <f t="shared" si="81"/>
        <v>1.2385206854732705E+60</v>
      </c>
      <c r="H1336" s="4">
        <f>SalaryFTECount*SalaryPerFTE*(1+SalaryGrowth)^1334</f>
        <v>1.1083933699445053E+28</v>
      </c>
      <c r="I1336" s="4">
        <f>SimOpsY1*(1+SimOpsGrowth)^1334</f>
        <v>1.1598746970872021E+49</v>
      </c>
      <c r="J1336" s="4">
        <f>TrainDevY1*(1+TrainDevGrowth)^1334</f>
        <v>5.7993734854360107E+48</v>
      </c>
      <c r="K1336" s="4">
        <f>AdminY1*(1+AdminGrowth)^1334</f>
        <v>1.1456560658008181E+38</v>
      </c>
      <c r="L1336" s="4">
        <f t="shared" si="82"/>
        <v>1.7398120456422598E+49</v>
      </c>
      <c r="M1336" s="4">
        <f t="shared" si="83"/>
        <v>1.2385206854558724E+60</v>
      </c>
    </row>
    <row r="1337" spans="1:13" x14ac:dyDescent="0.2">
      <c r="A1337" s="3">
        <f>StartYear+1335</f>
        <v>3360</v>
      </c>
      <c r="B1337" s="4">
        <f>FacultyFTE*HoursPerWeek*WeeksPerYear*RatePerHour*(1+PracticeGrowth)^1335</f>
        <v>5.5860747913615883E+33</v>
      </c>
      <c r="C1337" s="4">
        <f>StudentsY1*(1+StudentGrowth)^1335*CreditsPerStudent*TuitionPerCredit</f>
        <v>3.4912967446009931E+34</v>
      </c>
      <c r="D1337" s="4">
        <f>SimRevY1*(1+SimGrowth)^1335</f>
        <v>9.0824850268039856E+59</v>
      </c>
      <c r="E1337" s="4">
        <f>FacDevRevY1*(1+FacDevGrowth)^1335</f>
        <v>4.5412425134019928E+59</v>
      </c>
      <c r="F1337" s="4">
        <f t="shared" si="80"/>
        <v>1.3623727540205978E+60</v>
      </c>
      <c r="G1337" s="4">
        <f t="shared" si="81"/>
        <v>1.3623727540205978E+60</v>
      </c>
      <c r="H1337" s="4">
        <f>SalaryFTECount*SalaryPerFTE*(1+SalaryGrowth)^1335</f>
        <v>1.1527291047422854E+28</v>
      </c>
      <c r="I1337" s="4">
        <f>SimOpsY1*(1+SimOpsGrowth)^1335</f>
        <v>1.2526646728541782E+49</v>
      </c>
      <c r="J1337" s="4">
        <f>TrainDevY1*(1+TrainDevGrowth)^1335</f>
        <v>6.2633233642708912E+48</v>
      </c>
      <c r="K1337" s="4">
        <f>AdminY1*(1+AdminGrowth)^1335</f>
        <v>1.2143954297488673E+38</v>
      </c>
      <c r="L1337" s="4">
        <f t="shared" si="82"/>
        <v>1.8789970092934115E+49</v>
      </c>
      <c r="M1337" s="4">
        <f t="shared" si="83"/>
        <v>1.3623727540018079E+60</v>
      </c>
    </row>
    <row r="1338" spans="1:13" x14ac:dyDescent="0.2">
      <c r="A1338" s="3">
        <f>StartYear+1336</f>
        <v>3361</v>
      </c>
      <c r="B1338" s="4">
        <f>FacultyFTE*HoursPerWeek*WeeksPerYear*RatePerHour*(1+PracticeGrowth)^1336</f>
        <v>5.8653785309296668E+33</v>
      </c>
      <c r="C1338" s="4">
        <f>StudentsY1*(1+StudentGrowth)^1336*CreditsPerStudent*TuitionPerCredit</f>
        <v>3.6658615818310415E+34</v>
      </c>
      <c r="D1338" s="4">
        <f>SimRevY1*(1+SimGrowth)^1336</f>
        <v>9.9907335294843809E+59</v>
      </c>
      <c r="E1338" s="4">
        <f>FacDevRevY1*(1+FacDevGrowth)^1336</f>
        <v>4.9953667647421905E+59</v>
      </c>
      <c r="F1338" s="4">
        <f t="shared" si="80"/>
        <v>1.4986100294226572E+60</v>
      </c>
      <c r="G1338" s="4">
        <f t="shared" si="81"/>
        <v>1.4986100294226572E+60</v>
      </c>
      <c r="H1338" s="4">
        <f>SalaryFTECount*SalaryPerFTE*(1+SalaryGrowth)^1336</f>
        <v>1.1988382689319766E+28</v>
      </c>
      <c r="I1338" s="4">
        <f>SimOpsY1*(1+SimOpsGrowth)^1336</f>
        <v>1.3528778466825127E+49</v>
      </c>
      <c r="J1338" s="4">
        <f>TrainDevY1*(1+TrainDevGrowth)^1336</f>
        <v>6.7643892334125633E+48</v>
      </c>
      <c r="K1338" s="4">
        <f>AdminY1*(1+AdminGrowth)^1336</f>
        <v>1.2872591555337989E+38</v>
      </c>
      <c r="L1338" s="4">
        <f t="shared" si="82"/>
        <v>2.0293167700366415E+49</v>
      </c>
      <c r="M1338" s="4">
        <f t="shared" si="83"/>
        <v>1.4986100294023641E+60</v>
      </c>
    </row>
    <row r="1339" spans="1:13" x14ac:dyDescent="0.2">
      <c r="A1339" s="3">
        <f>StartYear+1337</f>
        <v>3362</v>
      </c>
      <c r="B1339" s="4">
        <f>FacultyFTE*HoursPerWeek*WeeksPerYear*RatePerHour*(1+PracticeGrowth)^1337</f>
        <v>6.158647457476151E+33</v>
      </c>
      <c r="C1339" s="4">
        <f>StudentsY1*(1+StudentGrowth)^1337*CreditsPerStudent*TuitionPerCredit</f>
        <v>3.8491546609225944E+34</v>
      </c>
      <c r="D1339" s="4">
        <f>SimRevY1*(1+SimGrowth)^1337</f>
        <v>1.0989806882432823E+60</v>
      </c>
      <c r="E1339" s="4">
        <f>FacDevRevY1*(1+FacDevGrowth)^1337</f>
        <v>5.4949034412164114E+59</v>
      </c>
      <c r="F1339" s="4">
        <f t="shared" si="80"/>
        <v>1.6484710323649234E+60</v>
      </c>
      <c r="G1339" s="4">
        <f t="shared" si="81"/>
        <v>1.6484710323649234E+60</v>
      </c>
      <c r="H1339" s="4">
        <f>SalaryFTECount*SalaryPerFTE*(1+SalaryGrowth)^1337</f>
        <v>1.2467917996892563E+28</v>
      </c>
      <c r="I1339" s="4">
        <f>SimOpsY1*(1+SimOpsGrowth)^1337</f>
        <v>1.4611080744171139E+49</v>
      </c>
      <c r="J1339" s="4">
        <f>TrainDevY1*(1+TrainDevGrowth)^1337</f>
        <v>7.3055403720855697E+48</v>
      </c>
      <c r="K1339" s="4">
        <f>AdminY1*(1+AdminGrowth)^1337</f>
        <v>1.3644947048658272E+38</v>
      </c>
      <c r="L1339" s="4">
        <f t="shared" si="82"/>
        <v>2.1916621116393156E+49</v>
      </c>
      <c r="M1339" s="4">
        <f t="shared" si="83"/>
        <v>1.648471032343007E+60</v>
      </c>
    </row>
    <row r="1340" spans="1:13" x14ac:dyDescent="0.2">
      <c r="A1340" s="3">
        <f>StartYear+1338</f>
        <v>3363</v>
      </c>
      <c r="B1340" s="4">
        <f>FacultyFTE*HoursPerWeek*WeeksPerYear*RatePerHour*(1+PracticeGrowth)^1338</f>
        <v>6.4665798303499599E+33</v>
      </c>
      <c r="C1340" s="4">
        <f>StudentsY1*(1+StudentGrowth)^1338*CreditsPerStudent*TuitionPerCredit</f>
        <v>4.0416123939687249E+34</v>
      </c>
      <c r="D1340" s="4">
        <f>SimRevY1*(1+SimGrowth)^1338</f>
        <v>1.2088787570676105E+60</v>
      </c>
      <c r="E1340" s="4">
        <f>FacDevRevY1*(1+FacDevGrowth)^1338</f>
        <v>6.0443937853380527E+59</v>
      </c>
      <c r="F1340" s="4">
        <f t="shared" si="80"/>
        <v>1.8133181356014159E+60</v>
      </c>
      <c r="G1340" s="4">
        <f t="shared" si="81"/>
        <v>1.8133181356014159E+60</v>
      </c>
      <c r="H1340" s="4">
        <f>SalaryFTECount*SalaryPerFTE*(1+SalaryGrowth)^1338</f>
        <v>1.2966634716768262E+28</v>
      </c>
      <c r="I1340" s="4">
        <f>SimOpsY1*(1+SimOpsGrowth)^1338</f>
        <v>1.5779967203704828E+49</v>
      </c>
      <c r="J1340" s="4">
        <f>TrainDevY1*(1+TrainDevGrowth)^1338</f>
        <v>7.889983601852414E+48</v>
      </c>
      <c r="K1340" s="4">
        <f>AdminY1*(1+AdminGrowth)^1338</f>
        <v>1.4463643871577767E+38</v>
      </c>
      <c r="L1340" s="4">
        <f t="shared" si="82"/>
        <v>2.366995080570188E+49</v>
      </c>
      <c r="M1340" s="4">
        <f t="shared" si="83"/>
        <v>1.8133181355777461E+60</v>
      </c>
    </row>
    <row r="1341" spans="1:13" x14ac:dyDescent="0.2">
      <c r="A1341" s="3">
        <f>StartYear+1339</f>
        <v>3364</v>
      </c>
      <c r="B1341" s="4">
        <f>FacultyFTE*HoursPerWeek*WeeksPerYear*RatePerHour*(1+PracticeGrowth)^1339</f>
        <v>6.7899088218674569E+33</v>
      </c>
      <c r="C1341" s="4">
        <f>StudentsY1*(1+StudentGrowth)^1339*CreditsPerStudent*TuitionPerCredit</f>
        <v>4.2436930136671606E+34</v>
      </c>
      <c r="D1341" s="4">
        <f>SimRevY1*(1+SimGrowth)^1339</f>
        <v>1.329766632774372E+60</v>
      </c>
      <c r="E1341" s="4">
        <f>FacDevRevY1*(1+FacDevGrowth)^1339</f>
        <v>6.6488331638718602E+59</v>
      </c>
      <c r="F1341" s="4">
        <f t="shared" si="80"/>
        <v>1.9946499491615582E+60</v>
      </c>
      <c r="G1341" s="4">
        <f t="shared" si="81"/>
        <v>1.9946499491615582E+60</v>
      </c>
      <c r="H1341" s="4">
        <f>SalaryFTECount*SalaryPerFTE*(1+SalaryGrowth)^1339</f>
        <v>1.3485300105438992E+28</v>
      </c>
      <c r="I1341" s="4">
        <f>SimOpsY1*(1+SimOpsGrowth)^1339</f>
        <v>1.7042364580001213E+49</v>
      </c>
      <c r="J1341" s="4">
        <f>TrainDevY1*(1+TrainDevGrowth)^1339</f>
        <v>8.5211822900006067E+48</v>
      </c>
      <c r="K1341" s="4">
        <f>AdminY1*(1+AdminGrowth)^1339</f>
        <v>1.5331462503872437E+38</v>
      </c>
      <c r="L1341" s="4">
        <f t="shared" si="82"/>
        <v>2.5563546870155132E+49</v>
      </c>
      <c r="M1341" s="4">
        <f t="shared" si="83"/>
        <v>1.9946499491359948E+60</v>
      </c>
    </row>
    <row r="1342" spans="1:13" x14ac:dyDescent="0.2">
      <c r="A1342" s="3">
        <f>StartYear+1340</f>
        <v>3365</v>
      </c>
      <c r="B1342" s="4">
        <f>FacultyFTE*HoursPerWeek*WeeksPerYear*RatePerHour*(1+PracticeGrowth)^1340</f>
        <v>7.1294042629608268E+33</v>
      </c>
      <c r="C1342" s="4">
        <f>StudentsY1*(1+StudentGrowth)^1340*CreditsPerStudent*TuitionPerCredit</f>
        <v>4.4558776643505171E+34</v>
      </c>
      <c r="D1342" s="4">
        <f>SimRevY1*(1+SimGrowth)^1340</f>
        <v>1.4627432960518089E+60</v>
      </c>
      <c r="E1342" s="4">
        <f>FacDevRevY1*(1+FacDevGrowth)^1340</f>
        <v>7.3137164802590443E+59</v>
      </c>
      <c r="F1342" s="4">
        <f t="shared" si="80"/>
        <v>2.1941149440777133E+60</v>
      </c>
      <c r="G1342" s="4">
        <f t="shared" si="81"/>
        <v>2.1941149440777133E+60</v>
      </c>
      <c r="H1342" s="4">
        <f>SalaryFTECount*SalaryPerFTE*(1+SalaryGrowth)^1340</f>
        <v>1.4024712109656555E+28</v>
      </c>
      <c r="I1342" s="4">
        <f>SimOpsY1*(1+SimOpsGrowth)^1340</f>
        <v>1.8405753746401314E+49</v>
      </c>
      <c r="J1342" s="4">
        <f>TrainDevY1*(1+TrainDevGrowth)^1340</f>
        <v>9.2028768732006568E+48</v>
      </c>
      <c r="K1342" s="4">
        <f>AdminY1*(1+AdminGrowth)^1340</f>
        <v>1.625135025410478E+38</v>
      </c>
      <c r="L1342" s="4">
        <f t="shared" si="82"/>
        <v>2.7608630619764484E+49</v>
      </c>
      <c r="M1342" s="4">
        <f t="shared" si="83"/>
        <v>2.1941149440501046E+60</v>
      </c>
    </row>
    <row r="1343" spans="1:13" x14ac:dyDescent="0.2">
      <c r="A1343" s="3">
        <f>StartYear+1341</f>
        <v>3366</v>
      </c>
      <c r="B1343" s="4">
        <f>FacultyFTE*HoursPerWeek*WeeksPerYear*RatePerHour*(1+PracticeGrowth)^1341</f>
        <v>7.4858744761088719E+33</v>
      </c>
      <c r="C1343" s="4">
        <f>StudentsY1*(1+StudentGrowth)^1341*CreditsPerStudent*TuitionPerCredit</f>
        <v>4.6786715475680445E+34</v>
      </c>
      <c r="D1343" s="4">
        <f>SimRevY1*(1+SimGrowth)^1341</f>
        <v>1.60901762565699E+60</v>
      </c>
      <c r="E1343" s="4">
        <f>FacDevRevY1*(1+FacDevGrowth)^1341</f>
        <v>8.0450881282849501E+59</v>
      </c>
      <c r="F1343" s="4">
        <f t="shared" si="80"/>
        <v>2.4135264384854849E+60</v>
      </c>
      <c r="G1343" s="4">
        <f t="shared" si="81"/>
        <v>2.4135264384854849E+60</v>
      </c>
      <c r="H1343" s="4">
        <f>SalaryFTECount*SalaryPerFTE*(1+SalaryGrowth)^1341</f>
        <v>1.4585700594042821E+28</v>
      </c>
      <c r="I1343" s="4">
        <f>SimOpsY1*(1+SimOpsGrowth)^1341</f>
        <v>1.987821404611342E+49</v>
      </c>
      <c r="J1343" s="4">
        <f>TrainDevY1*(1+TrainDevGrowth)^1341</f>
        <v>9.9391070230567101E+48</v>
      </c>
      <c r="K1343" s="4">
        <f>AdminY1*(1+AdminGrowth)^1341</f>
        <v>1.7226431269351072E+38</v>
      </c>
      <c r="L1343" s="4">
        <f t="shared" si="82"/>
        <v>2.9817321069342393E+49</v>
      </c>
      <c r="M1343" s="4">
        <f t="shared" si="83"/>
        <v>2.4135264384556675E+60</v>
      </c>
    </row>
    <row r="1344" spans="1:13" x14ac:dyDescent="0.2">
      <c r="A1344" s="3">
        <f>StartYear+1342</f>
        <v>3367</v>
      </c>
      <c r="B1344" s="4">
        <f>FacultyFTE*HoursPerWeek*WeeksPerYear*RatePerHour*(1+PracticeGrowth)^1342</f>
        <v>7.860168199914312E+33</v>
      </c>
      <c r="C1344" s="4">
        <f>StudentsY1*(1+StudentGrowth)^1342*CreditsPerStudent*TuitionPerCredit</f>
        <v>4.9126051249464453E+34</v>
      </c>
      <c r="D1344" s="4">
        <f>SimRevY1*(1+SimGrowth)^1342</f>
        <v>1.7699193882226895E+60</v>
      </c>
      <c r="E1344" s="4">
        <f>FacDevRevY1*(1+FacDevGrowth)^1342</f>
        <v>8.8495969411134474E+59</v>
      </c>
      <c r="F1344" s="4">
        <f t="shared" si="80"/>
        <v>2.6548790823340344E+60</v>
      </c>
      <c r="G1344" s="4">
        <f t="shared" si="81"/>
        <v>2.6548790823340344E+60</v>
      </c>
      <c r="H1344" s="4">
        <f>SalaryFTECount*SalaryPerFTE*(1+SalaryGrowth)^1342</f>
        <v>1.516912861780453E+28</v>
      </c>
      <c r="I1344" s="4">
        <f>SimOpsY1*(1+SimOpsGrowth)^1342</f>
        <v>2.1468471169802495E+49</v>
      </c>
      <c r="J1344" s="4">
        <f>TrainDevY1*(1+TrainDevGrowth)^1342</f>
        <v>1.0734235584901247E+49</v>
      </c>
      <c r="K1344" s="4">
        <f>AdminY1*(1+AdminGrowth)^1342</f>
        <v>1.8260017145512139E+38</v>
      </c>
      <c r="L1344" s="4">
        <f t="shared" si="82"/>
        <v>3.2202706754886344E+49</v>
      </c>
      <c r="M1344" s="4">
        <f t="shared" si="83"/>
        <v>2.6548790823018318E+60</v>
      </c>
    </row>
    <row r="1345" spans="1:13" x14ac:dyDescent="0.2">
      <c r="A1345" s="3">
        <f>StartYear+1343</f>
        <v>3368</v>
      </c>
      <c r="B1345" s="4">
        <f>FacultyFTE*HoursPerWeek*WeeksPerYear*RatePerHour*(1+PracticeGrowth)^1343</f>
        <v>8.2531766099100311E+33</v>
      </c>
      <c r="C1345" s="4">
        <f>StudentsY1*(1+StudentGrowth)^1343*CreditsPerStudent*TuitionPerCredit</f>
        <v>5.1582353811937704E+34</v>
      </c>
      <c r="D1345" s="4">
        <f>SimRevY1*(1+SimGrowth)^1343</f>
        <v>1.9469113270449581E+60</v>
      </c>
      <c r="E1345" s="4">
        <f>FacDevRevY1*(1+FacDevGrowth)^1343</f>
        <v>9.7345566352247906E+59</v>
      </c>
      <c r="F1345" s="4">
        <f t="shared" si="80"/>
        <v>2.920366990567437E+60</v>
      </c>
      <c r="G1345" s="4">
        <f t="shared" si="81"/>
        <v>2.920366990567437E+60</v>
      </c>
      <c r="H1345" s="4">
        <f>SalaryFTECount*SalaryPerFTE*(1+SalaryGrowth)^1343</f>
        <v>1.577589376251671E+28</v>
      </c>
      <c r="I1345" s="4">
        <f>SimOpsY1*(1+SimOpsGrowth)^1343</f>
        <v>2.3185948863386699E+49</v>
      </c>
      <c r="J1345" s="4">
        <f>TrainDevY1*(1+TrainDevGrowth)^1343</f>
        <v>1.159297443169335E+49</v>
      </c>
      <c r="K1345" s="4">
        <f>AdminY1*(1+AdminGrowth)^1343</f>
        <v>1.9355618174242869E+38</v>
      </c>
      <c r="L1345" s="4">
        <f t="shared" si="82"/>
        <v>3.4778923295273607E+49</v>
      </c>
      <c r="M1345" s="4">
        <f t="shared" si="83"/>
        <v>2.9203669905326582E+60</v>
      </c>
    </row>
    <row r="1346" spans="1:13" x14ac:dyDescent="0.2">
      <c r="A1346" s="3">
        <f>StartYear+1344</f>
        <v>3369</v>
      </c>
      <c r="B1346" s="4">
        <f>FacultyFTE*HoursPerWeek*WeeksPerYear*RatePerHour*(1+PracticeGrowth)^1344</f>
        <v>8.6658354404055323E+33</v>
      </c>
      <c r="C1346" s="4">
        <f>StudentsY1*(1+StudentGrowth)^1344*CreditsPerStudent*TuitionPerCredit</f>
        <v>5.416147150253458E+34</v>
      </c>
      <c r="D1346" s="4">
        <f>SimRevY1*(1+SimGrowth)^1344</f>
        <v>2.1416024597494538E+60</v>
      </c>
      <c r="E1346" s="4">
        <f>FacDevRevY1*(1+FacDevGrowth)^1344</f>
        <v>1.0708012298747269E+60</v>
      </c>
      <c r="F1346" s="4">
        <f t="shared" ref="F1346:F1409" si="84">C1346+D1346+E1346</f>
        <v>3.2124036896241809E+60</v>
      </c>
      <c r="G1346" s="4">
        <f t="shared" ref="G1346:G1409" si="85">B1346+F1346</f>
        <v>3.2124036896241809E+60</v>
      </c>
      <c r="H1346" s="4">
        <f>SalaryFTECount*SalaryPerFTE*(1+SalaryGrowth)^1344</f>
        <v>1.6406929513017381E+28</v>
      </c>
      <c r="I1346" s="4">
        <f>SimOpsY1*(1+SimOpsGrowth)^1344</f>
        <v>2.5040824772457635E+49</v>
      </c>
      <c r="J1346" s="4">
        <f>TrainDevY1*(1+TrainDevGrowth)^1344</f>
        <v>1.2520412386228817E+49</v>
      </c>
      <c r="K1346" s="4">
        <f>AdminY1*(1+AdminGrowth)^1344</f>
        <v>2.0516955264697435E+38</v>
      </c>
      <c r="L1346" s="4">
        <f t="shared" ref="L1346:L1409" si="86">SUM(H1346:K1346)</f>
        <v>3.7561237158891623E+49</v>
      </c>
      <c r="M1346" s="4">
        <f t="shared" ref="M1346:M1409" si="87">G1346-L1346</f>
        <v>3.2124036895866197E+60</v>
      </c>
    </row>
    <row r="1347" spans="1:13" x14ac:dyDescent="0.2">
      <c r="A1347" s="3">
        <f>StartYear+1345</f>
        <v>3370</v>
      </c>
      <c r="B1347" s="4">
        <f>FacultyFTE*HoursPerWeek*WeeksPerYear*RatePerHour*(1+PracticeGrowth)^1345</f>
        <v>9.0991272124258098E+33</v>
      </c>
      <c r="C1347" s="4">
        <f>StudentsY1*(1+StudentGrowth)^1345*CreditsPerStudent*TuitionPerCredit</f>
        <v>5.6869545077661313E+34</v>
      </c>
      <c r="D1347" s="4">
        <f>SimRevY1*(1+SimGrowth)^1345</f>
        <v>2.3557627057243995E+60</v>
      </c>
      <c r="E1347" s="4">
        <f>FacDevRevY1*(1+FacDevGrowth)^1345</f>
        <v>1.1778813528621998E+60</v>
      </c>
      <c r="F1347" s="4">
        <f t="shared" si="84"/>
        <v>3.5336440585865996E+60</v>
      </c>
      <c r="G1347" s="4">
        <f t="shared" si="85"/>
        <v>3.5336440585865996E+60</v>
      </c>
      <c r="H1347" s="4">
        <f>SalaryFTECount*SalaryPerFTE*(1+SalaryGrowth)^1345</f>
        <v>1.7063206693538077E+28</v>
      </c>
      <c r="I1347" s="4">
        <f>SimOpsY1*(1+SimOpsGrowth)^1345</f>
        <v>2.7044090754254252E+49</v>
      </c>
      <c r="J1347" s="4">
        <f>TrainDevY1*(1+TrainDevGrowth)^1345</f>
        <v>1.3522045377127126E+49</v>
      </c>
      <c r="K1347" s="4">
        <f>AdminY1*(1+AdminGrowth)^1345</f>
        <v>2.1747972580579284E+38</v>
      </c>
      <c r="L1347" s="4">
        <f t="shared" si="86"/>
        <v>4.0566136131598859E+49</v>
      </c>
      <c r="M1347" s="4">
        <f t="shared" si="87"/>
        <v>3.5336440585460337E+60</v>
      </c>
    </row>
    <row r="1348" spans="1:13" x14ac:dyDescent="0.2">
      <c r="A1348" s="3">
        <f>StartYear+1346</f>
        <v>3371</v>
      </c>
      <c r="B1348" s="4">
        <f>FacultyFTE*HoursPerWeek*WeeksPerYear*RatePerHour*(1+PracticeGrowth)^1346</f>
        <v>9.554083573047101E+33</v>
      </c>
      <c r="C1348" s="4">
        <f>StudentsY1*(1+StudentGrowth)^1346*CreditsPerStudent*TuitionPerCredit</f>
        <v>5.9713022331544373E+34</v>
      </c>
      <c r="D1348" s="4">
        <f>SimRevY1*(1+SimGrowth)^1346</f>
        <v>2.5913389762968397E+60</v>
      </c>
      <c r="E1348" s="4">
        <f>FacDevRevY1*(1+FacDevGrowth)^1346</f>
        <v>1.2956694881484198E+60</v>
      </c>
      <c r="F1348" s="4">
        <f t="shared" si="84"/>
        <v>3.8870084644452599E+60</v>
      </c>
      <c r="G1348" s="4">
        <f t="shared" si="85"/>
        <v>3.8870084644452599E+60</v>
      </c>
      <c r="H1348" s="4">
        <f>SalaryFTECount*SalaryPerFTE*(1+SalaryGrowth)^1346</f>
        <v>1.7745734961279604E+28</v>
      </c>
      <c r="I1348" s="4">
        <f>SimOpsY1*(1+SimOpsGrowth)^1346</f>
        <v>2.9207618014594586E+49</v>
      </c>
      <c r="J1348" s="4">
        <f>TrainDevY1*(1+TrainDevGrowth)^1346</f>
        <v>1.4603809007297293E+49</v>
      </c>
      <c r="K1348" s="4">
        <f>AdminY1*(1+AdminGrowth)^1346</f>
        <v>2.3052850935414043E+38</v>
      </c>
      <c r="L1348" s="4">
        <f t="shared" si="86"/>
        <v>4.3811427022122407E+49</v>
      </c>
      <c r="M1348" s="4">
        <f t="shared" si="87"/>
        <v>3.8870084644014484E+60</v>
      </c>
    </row>
    <row r="1349" spans="1:13" x14ac:dyDescent="0.2">
      <c r="A1349" s="3">
        <f>StartYear+1347</f>
        <v>3372</v>
      </c>
      <c r="B1349" s="4">
        <f>FacultyFTE*HoursPerWeek*WeeksPerYear*RatePerHour*(1+PracticeGrowth)^1347</f>
        <v>1.0031787751699457E+34</v>
      </c>
      <c r="C1349" s="4">
        <f>StudentsY1*(1+StudentGrowth)^1347*CreditsPerStudent*TuitionPerCredit</f>
        <v>6.2698673448121598E+34</v>
      </c>
      <c r="D1349" s="4">
        <f>SimRevY1*(1+SimGrowth)^1347</f>
        <v>2.8504728739265244E+60</v>
      </c>
      <c r="E1349" s="4">
        <f>FacDevRevY1*(1+FacDevGrowth)^1347</f>
        <v>1.4252364369632622E+60</v>
      </c>
      <c r="F1349" s="4">
        <f t="shared" si="84"/>
        <v>4.2757093108897867E+60</v>
      </c>
      <c r="G1349" s="4">
        <f t="shared" si="85"/>
        <v>4.2757093108897867E+60</v>
      </c>
      <c r="H1349" s="4">
        <f>SalaryFTECount*SalaryPerFTE*(1+SalaryGrowth)^1347</f>
        <v>1.8455564359730785E+28</v>
      </c>
      <c r="I1349" s="4">
        <f>SimOpsY1*(1+SimOpsGrowth)^1347</f>
        <v>3.1544227455762157E+49</v>
      </c>
      <c r="J1349" s="4">
        <f>TrainDevY1*(1+TrainDevGrowth)^1347</f>
        <v>1.5772113727881079E+49</v>
      </c>
      <c r="K1349" s="4">
        <f>AdminY1*(1+AdminGrowth)^1347</f>
        <v>2.4436021991538889E+38</v>
      </c>
      <c r="L1349" s="4">
        <f t="shared" si="86"/>
        <v>4.7316341183887598E+49</v>
      </c>
      <c r="M1349" s="4">
        <f t="shared" si="87"/>
        <v>4.2757093108424706E+60</v>
      </c>
    </row>
    <row r="1350" spans="1:13" x14ac:dyDescent="0.2">
      <c r="A1350" s="3">
        <f>StartYear+1348</f>
        <v>3373</v>
      </c>
      <c r="B1350" s="4">
        <f>FacultyFTE*HoursPerWeek*WeeksPerYear*RatePerHour*(1+PracticeGrowth)^1348</f>
        <v>1.0533377139284428E+34</v>
      </c>
      <c r="C1350" s="4">
        <f>StudentsY1*(1+StudentGrowth)^1348*CreditsPerStudent*TuitionPerCredit</f>
        <v>6.5833607120527676E+34</v>
      </c>
      <c r="D1350" s="4">
        <f>SimRevY1*(1+SimGrowth)^1348</f>
        <v>3.1355201613191763E+60</v>
      </c>
      <c r="E1350" s="4">
        <f>FacDevRevY1*(1+FacDevGrowth)^1348</f>
        <v>1.5677600806595882E+60</v>
      </c>
      <c r="F1350" s="4">
        <f t="shared" si="84"/>
        <v>4.7032802419787647E+60</v>
      </c>
      <c r="G1350" s="4">
        <f t="shared" si="85"/>
        <v>4.7032802419787647E+60</v>
      </c>
      <c r="H1350" s="4">
        <f>SalaryFTECount*SalaryPerFTE*(1+SalaryGrowth)^1348</f>
        <v>1.9193786934120018E+28</v>
      </c>
      <c r="I1350" s="4">
        <f>SimOpsY1*(1+SimOpsGrowth)^1348</f>
        <v>3.4067765652223132E+49</v>
      </c>
      <c r="J1350" s="4">
        <f>TrainDevY1*(1+TrainDevGrowth)^1348</f>
        <v>1.7033882826111566E+49</v>
      </c>
      <c r="K1350" s="4">
        <f>AdminY1*(1+AdminGrowth)^1348</f>
        <v>2.5902183311031224E+38</v>
      </c>
      <c r="L1350" s="4">
        <f t="shared" si="86"/>
        <v>5.1101648478593721E+49</v>
      </c>
      <c r="M1350" s="4">
        <f t="shared" si="87"/>
        <v>4.7032802419276628E+60</v>
      </c>
    </row>
    <row r="1351" spans="1:13" x14ac:dyDescent="0.2">
      <c r="A1351" s="3">
        <f>StartYear+1349</f>
        <v>3374</v>
      </c>
      <c r="B1351" s="4">
        <f>FacultyFTE*HoursPerWeek*WeeksPerYear*RatePerHour*(1+PracticeGrowth)^1349</f>
        <v>1.1060045996248651E+34</v>
      </c>
      <c r="C1351" s="4">
        <f>StudentsY1*(1+StudentGrowth)^1349*CreditsPerStudent*TuitionPerCredit</f>
        <v>6.9125287476554065E+34</v>
      </c>
      <c r="D1351" s="4">
        <f>SimRevY1*(1+SimGrowth)^1349</f>
        <v>3.449072177451094E+60</v>
      </c>
      <c r="E1351" s="4">
        <f>FacDevRevY1*(1+FacDevGrowth)^1349</f>
        <v>1.724536088725547E+60</v>
      </c>
      <c r="F1351" s="4">
        <f t="shared" si="84"/>
        <v>5.1736082661766407E+60</v>
      </c>
      <c r="G1351" s="4">
        <f t="shared" si="85"/>
        <v>5.1736082661766407E+60</v>
      </c>
      <c r="H1351" s="4">
        <f>SalaryFTECount*SalaryPerFTE*(1+SalaryGrowth)^1349</f>
        <v>1.9961538411484822E+28</v>
      </c>
      <c r="I1351" s="4">
        <f>SimOpsY1*(1+SimOpsGrowth)^1349</f>
        <v>3.6793186904400983E+49</v>
      </c>
      <c r="J1351" s="4">
        <f>TrainDevY1*(1+TrainDevGrowth)^1349</f>
        <v>1.8396593452200492E+49</v>
      </c>
      <c r="K1351" s="4">
        <f>AdminY1*(1+AdminGrowth)^1349</f>
        <v>2.7456314309693099E+38</v>
      </c>
      <c r="L1351" s="4">
        <f t="shared" si="86"/>
        <v>5.5189780356876033E+49</v>
      </c>
      <c r="M1351" s="4">
        <f t="shared" si="87"/>
        <v>5.1736082661214511E+60</v>
      </c>
    </row>
    <row r="1352" spans="1:13" x14ac:dyDescent="0.2">
      <c r="A1352" s="3">
        <f>StartYear+1350</f>
        <v>3375</v>
      </c>
      <c r="B1352" s="4">
        <f>FacultyFTE*HoursPerWeek*WeeksPerYear*RatePerHour*(1+PracticeGrowth)^1350</f>
        <v>1.1613048296061081E+34</v>
      </c>
      <c r="C1352" s="4">
        <f>StudentsY1*(1+StudentGrowth)^1350*CreditsPerStudent*TuitionPerCredit</f>
        <v>7.2581551850381761E+34</v>
      </c>
      <c r="D1352" s="4">
        <f>SimRevY1*(1+SimGrowth)^1350</f>
        <v>3.7939793951962041E+60</v>
      </c>
      <c r="E1352" s="4">
        <f>FacDevRevY1*(1+FacDevGrowth)^1350</f>
        <v>1.896989697598102E+60</v>
      </c>
      <c r="F1352" s="4">
        <f t="shared" si="84"/>
        <v>5.6909690927943057E+60</v>
      </c>
      <c r="G1352" s="4">
        <f t="shared" si="85"/>
        <v>5.6909690927943057E+60</v>
      </c>
      <c r="H1352" s="4">
        <f>SalaryFTECount*SalaryPerFTE*(1+SalaryGrowth)^1350</f>
        <v>2.0759999947944218E+28</v>
      </c>
      <c r="I1352" s="4">
        <f>SimOpsY1*(1+SimOpsGrowth)^1350</f>
        <v>3.9736641856753066E+49</v>
      </c>
      <c r="J1352" s="4">
        <f>TrainDevY1*(1+TrainDevGrowth)^1350</f>
        <v>1.9868320928376533E+49</v>
      </c>
      <c r="K1352" s="4">
        <f>AdminY1*(1+AdminGrowth)^1350</f>
        <v>2.9103693168274683E+38</v>
      </c>
      <c r="L1352" s="4">
        <f t="shared" si="86"/>
        <v>5.9604962785420642E+49</v>
      </c>
      <c r="M1352" s="4">
        <f t="shared" si="87"/>
        <v>5.690969092734701E+60</v>
      </c>
    </row>
    <row r="1353" spans="1:13" x14ac:dyDescent="0.2">
      <c r="A1353" s="3">
        <f>StartYear+1351</f>
        <v>3376</v>
      </c>
      <c r="B1353" s="4">
        <f>FacultyFTE*HoursPerWeek*WeeksPerYear*RatePerHour*(1+PracticeGrowth)^1351</f>
        <v>1.2193700710864135E+34</v>
      </c>
      <c r="C1353" s="4">
        <f>StudentsY1*(1+StudentGrowth)^1351*CreditsPerStudent*TuitionPerCredit</f>
        <v>7.6210629442900841E+34</v>
      </c>
      <c r="D1353" s="4">
        <f>SimRevY1*(1+SimGrowth)^1351</f>
        <v>4.1733773347158252E+60</v>
      </c>
      <c r="E1353" s="4">
        <f>FacDevRevY1*(1+FacDevGrowth)^1351</f>
        <v>2.0866886673579126E+60</v>
      </c>
      <c r="F1353" s="4">
        <f t="shared" si="84"/>
        <v>6.2600660020737379E+60</v>
      </c>
      <c r="G1353" s="4">
        <f t="shared" si="85"/>
        <v>6.2600660020737379E+60</v>
      </c>
      <c r="H1353" s="4">
        <f>SalaryFTECount*SalaryPerFTE*(1+SalaryGrowth)^1351</f>
        <v>2.1590399945861981E+28</v>
      </c>
      <c r="I1353" s="4">
        <f>SimOpsY1*(1+SimOpsGrowth)^1351</f>
        <v>4.2915573205293308E+49</v>
      </c>
      <c r="J1353" s="4">
        <f>TrainDevY1*(1+TrainDevGrowth)^1351</f>
        <v>2.1457786602646654E+49</v>
      </c>
      <c r="K1353" s="4">
        <f>AdminY1*(1+AdminGrowth)^1351</f>
        <v>3.084991475837117E+38</v>
      </c>
      <c r="L1353" s="4">
        <f t="shared" si="86"/>
        <v>6.437335980824846E+49</v>
      </c>
      <c r="M1353" s="4">
        <f t="shared" si="87"/>
        <v>6.2600660020093647E+60</v>
      </c>
    </row>
    <row r="1354" spans="1:13" x14ac:dyDescent="0.2">
      <c r="A1354" s="3">
        <f>StartYear+1352</f>
        <v>3377</v>
      </c>
      <c r="B1354" s="4">
        <f>FacultyFTE*HoursPerWeek*WeeksPerYear*RatePerHour*(1+PracticeGrowth)^1352</f>
        <v>1.2803385746407343E+34</v>
      </c>
      <c r="C1354" s="4">
        <f>StudentsY1*(1+StudentGrowth)^1352*CreditsPerStudent*TuitionPerCredit</f>
        <v>8.0021160915045881E+34</v>
      </c>
      <c r="D1354" s="4">
        <f>SimRevY1*(1+SimGrowth)^1352</f>
        <v>4.5907150681874075E+60</v>
      </c>
      <c r="E1354" s="4">
        <f>FacDevRevY1*(1+FacDevGrowth)^1352</f>
        <v>2.2953575340937037E+60</v>
      </c>
      <c r="F1354" s="4">
        <f t="shared" si="84"/>
        <v>6.8860726022811112E+60</v>
      </c>
      <c r="G1354" s="4">
        <f t="shared" si="85"/>
        <v>6.8860726022811112E+60</v>
      </c>
      <c r="H1354" s="4">
        <f>SalaryFTECount*SalaryPerFTE*(1+SalaryGrowth)^1352</f>
        <v>2.2454015943696465E+28</v>
      </c>
      <c r="I1354" s="4">
        <f>SimOpsY1*(1+SimOpsGrowth)^1352</f>
        <v>4.6348819061716783E+49</v>
      </c>
      <c r="J1354" s="4">
        <f>TrainDevY1*(1+TrainDevGrowth)^1352</f>
        <v>2.3174409530858391E+49</v>
      </c>
      <c r="K1354" s="4">
        <f>AdminY1*(1+AdminGrowth)^1352</f>
        <v>3.2700909643873438E+38</v>
      </c>
      <c r="L1354" s="4">
        <f t="shared" si="86"/>
        <v>6.952322859290219E+49</v>
      </c>
      <c r="M1354" s="4">
        <f t="shared" si="87"/>
        <v>6.8860726022115886E+60</v>
      </c>
    </row>
    <row r="1355" spans="1:13" x14ac:dyDescent="0.2">
      <c r="A1355" s="3">
        <f>StartYear+1353</f>
        <v>3378</v>
      </c>
      <c r="B1355" s="4">
        <f>FacultyFTE*HoursPerWeek*WeeksPerYear*RatePerHour*(1+PracticeGrowth)^1353</f>
        <v>1.3443555033727708E+34</v>
      </c>
      <c r="C1355" s="4">
        <f>StudentsY1*(1+StudentGrowth)^1353*CreditsPerStudent*TuitionPerCredit</f>
        <v>8.4022218960798171E+34</v>
      </c>
      <c r="D1355" s="4">
        <f>SimRevY1*(1+SimGrowth)^1353</f>
        <v>5.0497865750061488E+60</v>
      </c>
      <c r="E1355" s="4">
        <f>FacDevRevY1*(1+FacDevGrowth)^1353</f>
        <v>2.5248932875030744E+60</v>
      </c>
      <c r="F1355" s="4">
        <f t="shared" si="84"/>
        <v>7.5746798625092239E+60</v>
      </c>
      <c r="G1355" s="4">
        <f t="shared" si="85"/>
        <v>7.5746798625092239E+60</v>
      </c>
      <c r="H1355" s="4">
        <f>SalaryFTECount*SalaryPerFTE*(1+SalaryGrowth)^1353</f>
        <v>2.3352176581444324E+28</v>
      </c>
      <c r="I1355" s="4">
        <f>SimOpsY1*(1+SimOpsGrowth)^1353</f>
        <v>5.0056724586654135E+49</v>
      </c>
      <c r="J1355" s="4">
        <f>TrainDevY1*(1+TrainDevGrowth)^1353</f>
        <v>2.5028362293327068E+49</v>
      </c>
      <c r="K1355" s="4">
        <f>AdminY1*(1+AdminGrowth)^1353</f>
        <v>3.4662964222505839E+38</v>
      </c>
      <c r="L1355" s="4">
        <f t="shared" si="86"/>
        <v>7.5085086880327825E+49</v>
      </c>
      <c r="M1355" s="4">
        <f t="shared" si="87"/>
        <v>7.5746798624341393E+60</v>
      </c>
    </row>
    <row r="1356" spans="1:13" x14ac:dyDescent="0.2">
      <c r="A1356" s="3">
        <f>StartYear+1354</f>
        <v>3379</v>
      </c>
      <c r="B1356" s="4">
        <f>FacultyFTE*HoursPerWeek*WeeksPerYear*RatePerHour*(1+PracticeGrowth)^1354</f>
        <v>1.4115732785414095E+34</v>
      </c>
      <c r="C1356" s="4">
        <f>StudentsY1*(1+StudentGrowth)^1354*CreditsPerStudent*TuitionPerCredit</f>
        <v>8.8223329908838093E+34</v>
      </c>
      <c r="D1356" s="4">
        <f>SimRevY1*(1+SimGrowth)^1354</f>
        <v>5.5547652325067641E+60</v>
      </c>
      <c r="E1356" s="4">
        <f>FacDevRevY1*(1+FacDevGrowth)^1354</f>
        <v>2.7773826162533821E+60</v>
      </c>
      <c r="F1356" s="4">
        <f t="shared" si="84"/>
        <v>8.3321478487601455E+60</v>
      </c>
      <c r="G1356" s="4">
        <f t="shared" si="85"/>
        <v>8.3321478487601455E+60</v>
      </c>
      <c r="H1356" s="4">
        <f>SalaryFTECount*SalaryPerFTE*(1+SalaryGrowth)^1354</f>
        <v>2.4286263644702098E+28</v>
      </c>
      <c r="I1356" s="4">
        <f>SimOpsY1*(1+SimOpsGrowth)^1354</f>
        <v>5.4061262553586467E+49</v>
      </c>
      <c r="J1356" s="4">
        <f>TrainDevY1*(1+TrainDevGrowth)^1354</f>
        <v>2.7030631276793233E+49</v>
      </c>
      <c r="K1356" s="4">
        <f>AdminY1*(1+AdminGrowth)^1354</f>
        <v>3.6742742075856195E+38</v>
      </c>
      <c r="L1356" s="4">
        <f t="shared" si="86"/>
        <v>8.1091893830747123E+49</v>
      </c>
      <c r="M1356" s="4">
        <f t="shared" si="87"/>
        <v>8.3321478486790535E+60</v>
      </c>
    </row>
    <row r="1357" spans="1:13" x14ac:dyDescent="0.2">
      <c r="A1357" s="3">
        <f>StartYear+1355</f>
        <v>3380</v>
      </c>
      <c r="B1357" s="4">
        <f>FacultyFTE*HoursPerWeek*WeeksPerYear*RatePerHour*(1+PracticeGrowth)^1355</f>
        <v>1.4821519424684799E+34</v>
      </c>
      <c r="C1357" s="4">
        <f>StudentsY1*(1+StudentGrowth)^1355*CreditsPerStudent*TuitionPerCredit</f>
        <v>9.2634496404279996E+34</v>
      </c>
      <c r="D1357" s="4">
        <f>SimRevY1*(1+SimGrowth)^1355</f>
        <v>6.1102417557574402E+60</v>
      </c>
      <c r="E1357" s="4">
        <f>FacDevRevY1*(1+FacDevGrowth)^1355</f>
        <v>3.0551208778787201E+60</v>
      </c>
      <c r="F1357" s="4">
        <f t="shared" si="84"/>
        <v>9.16536263363616E+60</v>
      </c>
      <c r="G1357" s="4">
        <f t="shared" si="85"/>
        <v>9.16536263363616E+60</v>
      </c>
      <c r="H1357" s="4">
        <f>SalaryFTECount*SalaryPerFTE*(1+SalaryGrowth)^1355</f>
        <v>2.5257714190490176E+28</v>
      </c>
      <c r="I1357" s="4">
        <f>SimOpsY1*(1+SimOpsGrowth)^1355</f>
        <v>5.8386163557873372E+49</v>
      </c>
      <c r="J1357" s="4">
        <f>TrainDevY1*(1+TrainDevGrowth)^1355</f>
        <v>2.9193081778936686E+49</v>
      </c>
      <c r="K1357" s="4">
        <f>AdminY1*(1+AdminGrowth)^1355</f>
        <v>3.8947306600407579E+38</v>
      </c>
      <c r="L1357" s="4">
        <f t="shared" si="86"/>
        <v>8.7579245337199532E+49</v>
      </c>
      <c r="M1357" s="4">
        <f t="shared" si="87"/>
        <v>9.1653626335485812E+60</v>
      </c>
    </row>
    <row r="1358" spans="1:13" x14ac:dyDescent="0.2">
      <c r="A1358" s="3">
        <f>StartYear+1356</f>
        <v>3381</v>
      </c>
      <c r="B1358" s="4">
        <f>FacultyFTE*HoursPerWeek*WeeksPerYear*RatePerHour*(1+PracticeGrowth)^1356</f>
        <v>1.5562595395919038E+34</v>
      </c>
      <c r="C1358" s="4">
        <f>StudentsY1*(1+StudentGrowth)^1356*CreditsPerStudent*TuitionPerCredit</f>
        <v>9.7266221224494004E+34</v>
      </c>
      <c r="D1358" s="4">
        <f>SimRevY1*(1+SimGrowth)^1356</f>
        <v>6.7212659313331853E+60</v>
      </c>
      <c r="E1358" s="4">
        <f>FacDevRevY1*(1+FacDevGrowth)^1356</f>
        <v>3.3606329656665927E+60</v>
      </c>
      <c r="F1358" s="4">
        <f t="shared" si="84"/>
        <v>1.0081898896999778E+61</v>
      </c>
      <c r="G1358" s="4">
        <f t="shared" si="85"/>
        <v>1.0081898896999778E+61</v>
      </c>
      <c r="H1358" s="4">
        <f>SalaryFTECount*SalaryPerFTE*(1+SalaryGrowth)^1356</f>
        <v>2.6268022758109791E+28</v>
      </c>
      <c r="I1358" s="4">
        <f>SimOpsY1*(1+SimOpsGrowth)^1356</f>
        <v>6.3057056642503247E+49</v>
      </c>
      <c r="J1358" s="4">
        <f>TrainDevY1*(1+TrainDevGrowth)^1356</f>
        <v>3.1528528321251624E+49</v>
      </c>
      <c r="K1358" s="4">
        <f>AdminY1*(1+AdminGrowth)^1356</f>
        <v>4.1284144996432034E+38</v>
      </c>
      <c r="L1358" s="4">
        <f t="shared" si="86"/>
        <v>9.4585584964167726E+49</v>
      </c>
      <c r="M1358" s="4">
        <f t="shared" si="87"/>
        <v>1.0081898896905193E+61</v>
      </c>
    </row>
    <row r="1359" spans="1:13" x14ac:dyDescent="0.2">
      <c r="A1359" s="3">
        <f>StartYear+1357</f>
        <v>3382</v>
      </c>
      <c r="B1359" s="4">
        <f>FacultyFTE*HoursPerWeek*WeeksPerYear*RatePerHour*(1+PracticeGrowth)^1357</f>
        <v>1.6340725165714995E+34</v>
      </c>
      <c r="C1359" s="4">
        <f>StudentsY1*(1+StudentGrowth)^1357*CreditsPerStudent*TuitionPerCredit</f>
        <v>1.021295322857187E+35</v>
      </c>
      <c r="D1359" s="4">
        <f>SimRevY1*(1+SimGrowth)^1357</f>
        <v>7.3933925244665036E+60</v>
      </c>
      <c r="E1359" s="4">
        <f>FacDevRevY1*(1+FacDevGrowth)^1357</f>
        <v>3.6966962622332518E+60</v>
      </c>
      <c r="F1359" s="4">
        <f t="shared" si="84"/>
        <v>1.1090088786699755E+61</v>
      </c>
      <c r="G1359" s="4">
        <f t="shared" si="85"/>
        <v>1.1090088786699755E+61</v>
      </c>
      <c r="H1359" s="4">
        <f>SalaryFTECount*SalaryPerFTE*(1+SalaryGrowth)^1357</f>
        <v>2.7318743668434184E+28</v>
      </c>
      <c r="I1359" s="4">
        <f>SimOpsY1*(1+SimOpsGrowth)^1357</f>
        <v>6.8101621173903515E+49</v>
      </c>
      <c r="J1359" s="4">
        <f>TrainDevY1*(1+TrainDevGrowth)^1357</f>
        <v>3.4050810586951757E+49</v>
      </c>
      <c r="K1359" s="4">
        <f>AdminY1*(1+AdminGrowth)^1357</f>
        <v>4.3761193696217956E+38</v>
      </c>
      <c r="L1359" s="4">
        <f t="shared" si="86"/>
        <v>1.0215243176129287E+50</v>
      </c>
      <c r="M1359" s="4">
        <f t="shared" si="87"/>
        <v>1.1090088786597602E+61</v>
      </c>
    </row>
    <row r="1360" spans="1:13" x14ac:dyDescent="0.2">
      <c r="A1360" s="3">
        <f>StartYear+1358</f>
        <v>3383</v>
      </c>
      <c r="B1360" s="4">
        <f>FacultyFTE*HoursPerWeek*WeeksPerYear*RatePerHour*(1+PracticeGrowth)^1358</f>
        <v>1.7157761424000738E+34</v>
      </c>
      <c r="C1360" s="4">
        <f>StudentsY1*(1+StudentGrowth)^1358*CreditsPerStudent*TuitionPerCredit</f>
        <v>1.0723600890000462E+35</v>
      </c>
      <c r="D1360" s="4">
        <f>SimRevY1*(1+SimGrowth)^1358</f>
        <v>8.1327317769131558E+60</v>
      </c>
      <c r="E1360" s="4">
        <f>FacDevRevY1*(1+FacDevGrowth)^1358</f>
        <v>4.0663658884565779E+60</v>
      </c>
      <c r="F1360" s="4">
        <f t="shared" si="84"/>
        <v>1.2199097665369733E+61</v>
      </c>
      <c r="G1360" s="4">
        <f t="shared" si="85"/>
        <v>1.2199097665369733E+61</v>
      </c>
      <c r="H1360" s="4">
        <f>SalaryFTECount*SalaryPerFTE*(1+SalaryGrowth)^1358</f>
        <v>2.8411493415171551E+28</v>
      </c>
      <c r="I1360" s="4">
        <f>SimOpsY1*(1+SimOpsGrowth)^1358</f>
        <v>7.3549750867815802E+49</v>
      </c>
      <c r="J1360" s="4">
        <f>TrainDevY1*(1+TrainDevGrowth)^1358</f>
        <v>3.6774875433907901E+49</v>
      </c>
      <c r="K1360" s="4">
        <f>AdminY1*(1+AdminGrowth)^1358</f>
        <v>4.6386865317991034E+38</v>
      </c>
      <c r="L1360" s="4">
        <f t="shared" si="86"/>
        <v>1.1032462630218757E+50</v>
      </c>
      <c r="M1360" s="4">
        <f t="shared" si="87"/>
        <v>1.2199097665259408E+61</v>
      </c>
    </row>
    <row r="1361" spans="1:13" x14ac:dyDescent="0.2">
      <c r="A1361" s="3">
        <f>StartYear+1359</f>
        <v>3384</v>
      </c>
      <c r="B1361" s="4">
        <f>FacultyFTE*HoursPerWeek*WeeksPerYear*RatePerHour*(1+PracticeGrowth)^1359</f>
        <v>1.801564949520078E+34</v>
      </c>
      <c r="C1361" s="4">
        <f>StudentsY1*(1+StudentGrowth)^1359*CreditsPerStudent*TuitionPerCredit</f>
        <v>1.1259780934500488E+35</v>
      </c>
      <c r="D1361" s="4">
        <f>SimRevY1*(1+SimGrowth)^1359</f>
        <v>8.946004954604471E+60</v>
      </c>
      <c r="E1361" s="4">
        <f>FacDevRevY1*(1+FacDevGrowth)^1359</f>
        <v>4.4730024773022355E+60</v>
      </c>
      <c r="F1361" s="4">
        <f t="shared" si="84"/>
        <v>1.3419007431906707E+61</v>
      </c>
      <c r="G1361" s="4">
        <f t="shared" si="85"/>
        <v>1.3419007431906707E+61</v>
      </c>
      <c r="H1361" s="4">
        <f>SalaryFTECount*SalaryPerFTE*(1+SalaryGrowth)^1359</f>
        <v>2.9547953151778414E+28</v>
      </c>
      <c r="I1361" s="4">
        <f>SimOpsY1*(1+SimOpsGrowth)^1359</f>
        <v>7.9433730937241086E+49</v>
      </c>
      <c r="J1361" s="4">
        <f>TrainDevY1*(1+TrainDevGrowth)^1359</f>
        <v>3.9716865468620543E+49</v>
      </c>
      <c r="K1361" s="4">
        <f>AdminY1*(1+AdminGrowth)^1359</f>
        <v>4.9170077237070505E+38</v>
      </c>
      <c r="L1361" s="4">
        <f t="shared" si="86"/>
        <v>1.1915059640635334E+50</v>
      </c>
      <c r="M1361" s="4">
        <f t="shared" si="87"/>
        <v>1.3419007431787558E+61</v>
      </c>
    </row>
    <row r="1362" spans="1:13" x14ac:dyDescent="0.2">
      <c r="A1362" s="3">
        <f>StartYear+1360</f>
        <v>3385</v>
      </c>
      <c r="B1362" s="4">
        <f>FacultyFTE*HoursPerWeek*WeeksPerYear*RatePerHour*(1+PracticeGrowth)^1360</f>
        <v>1.8916431969960821E+34</v>
      </c>
      <c r="C1362" s="4">
        <f>StudentsY1*(1+StudentGrowth)^1360*CreditsPerStudent*TuitionPerCredit</f>
        <v>1.1822769981225513E+35</v>
      </c>
      <c r="D1362" s="4">
        <f>SimRevY1*(1+SimGrowth)^1360</f>
        <v>9.8406054500649188E+60</v>
      </c>
      <c r="E1362" s="4">
        <f>FacDevRevY1*(1+FacDevGrowth)^1360</f>
        <v>4.9203027250324594E+60</v>
      </c>
      <c r="F1362" s="4">
        <f t="shared" si="84"/>
        <v>1.4760908175097377E+61</v>
      </c>
      <c r="G1362" s="4">
        <f t="shared" si="85"/>
        <v>1.4760908175097377E+61</v>
      </c>
      <c r="H1362" s="4">
        <f>SalaryFTECount*SalaryPerFTE*(1+SalaryGrowth)^1360</f>
        <v>3.0729871277849561E+28</v>
      </c>
      <c r="I1362" s="4">
        <f>SimOpsY1*(1+SimOpsGrowth)^1360</f>
        <v>8.5788429412220346E+49</v>
      </c>
      <c r="J1362" s="4">
        <f>TrainDevY1*(1+TrainDevGrowth)^1360</f>
        <v>4.2894214706110173E+49</v>
      </c>
      <c r="K1362" s="4">
        <f>AdminY1*(1+AdminGrowth)^1360</f>
        <v>5.2120281871294721E+38</v>
      </c>
      <c r="L1362" s="4">
        <f t="shared" si="86"/>
        <v>1.2868264411885172E+50</v>
      </c>
      <c r="M1362" s="4">
        <f t="shared" si="87"/>
        <v>1.4760908174968693E+61</v>
      </c>
    </row>
    <row r="1363" spans="1:13" x14ac:dyDescent="0.2">
      <c r="A1363" s="3">
        <f>StartYear+1361</f>
        <v>3386</v>
      </c>
      <c r="B1363" s="4">
        <f>FacultyFTE*HoursPerWeek*WeeksPerYear*RatePerHour*(1+PracticeGrowth)^1361</f>
        <v>1.9862253568458863E+34</v>
      </c>
      <c r="C1363" s="4">
        <f>StudentsY1*(1+StudentGrowth)^1361*CreditsPerStudent*TuitionPerCredit</f>
        <v>1.2413908480286788E+35</v>
      </c>
      <c r="D1363" s="4">
        <f>SimRevY1*(1+SimGrowth)^1361</f>
        <v>1.0824665995071409E+61</v>
      </c>
      <c r="E1363" s="4">
        <f>FacDevRevY1*(1+FacDevGrowth)^1361</f>
        <v>5.4123329975357047E+60</v>
      </c>
      <c r="F1363" s="4">
        <f t="shared" si="84"/>
        <v>1.6236998992607115E+61</v>
      </c>
      <c r="G1363" s="4">
        <f t="shared" si="85"/>
        <v>1.6236998992607115E+61</v>
      </c>
      <c r="H1363" s="4">
        <f>SalaryFTECount*SalaryPerFTE*(1+SalaryGrowth)^1361</f>
        <v>3.1959066128963532E+28</v>
      </c>
      <c r="I1363" s="4">
        <f>SimOpsY1*(1+SimOpsGrowth)^1361</f>
        <v>9.2651503765197991E+49</v>
      </c>
      <c r="J1363" s="4">
        <f>TrainDevY1*(1+TrainDevGrowth)^1361</f>
        <v>4.6325751882598995E+49</v>
      </c>
      <c r="K1363" s="4">
        <f>AdminY1*(1+AdminGrowth)^1361</f>
        <v>5.5247498783572422E+38</v>
      </c>
      <c r="L1363" s="4">
        <f t="shared" si="86"/>
        <v>1.3897725564834947E+50</v>
      </c>
      <c r="M1363" s="4">
        <f t="shared" si="87"/>
        <v>1.6236998992468138E+61</v>
      </c>
    </row>
    <row r="1364" spans="1:13" x14ac:dyDescent="0.2">
      <c r="A1364" s="3">
        <f>StartYear+1362</f>
        <v>3387</v>
      </c>
      <c r="B1364" s="4">
        <f>FacultyFTE*HoursPerWeek*WeeksPerYear*RatePerHour*(1+PracticeGrowth)^1362</f>
        <v>2.0855366246881806E+34</v>
      </c>
      <c r="C1364" s="4">
        <f>StudentsY1*(1+StudentGrowth)^1362*CreditsPerStudent*TuitionPerCredit</f>
        <v>1.3034603904301131E+35</v>
      </c>
      <c r="D1364" s="4">
        <f>SimRevY1*(1+SimGrowth)^1362</f>
        <v>1.1907132594578552E+61</v>
      </c>
      <c r="E1364" s="4">
        <f>FacDevRevY1*(1+FacDevGrowth)^1362</f>
        <v>5.9535662972892762E+60</v>
      </c>
      <c r="F1364" s="4">
        <f t="shared" si="84"/>
        <v>1.786069889186783E+61</v>
      </c>
      <c r="G1364" s="4">
        <f t="shared" si="85"/>
        <v>1.786069889186783E+61</v>
      </c>
      <c r="H1364" s="4">
        <f>SalaryFTECount*SalaryPerFTE*(1+SalaryGrowth)^1362</f>
        <v>3.3237428774122083E+28</v>
      </c>
      <c r="I1364" s="4">
        <f>SimOpsY1*(1+SimOpsGrowth)^1362</f>
        <v>1.0006362406641382E+50</v>
      </c>
      <c r="J1364" s="4">
        <f>TrainDevY1*(1+TrainDevGrowth)^1362</f>
        <v>5.0031812033206909E+49</v>
      </c>
      <c r="K1364" s="4">
        <f>AdminY1*(1+AdminGrowth)^1362</f>
        <v>5.8562348710586755E+38</v>
      </c>
      <c r="L1364" s="4">
        <f t="shared" si="86"/>
        <v>1.5009543610020637E+50</v>
      </c>
      <c r="M1364" s="4">
        <f t="shared" si="87"/>
        <v>1.7860698891717735E+61</v>
      </c>
    </row>
    <row r="1365" spans="1:13" x14ac:dyDescent="0.2">
      <c r="A1365" s="3">
        <f>StartYear+1363</f>
        <v>3388</v>
      </c>
      <c r="B1365" s="4">
        <f>FacultyFTE*HoursPerWeek*WeeksPerYear*RatePerHour*(1+PracticeGrowth)^1363</f>
        <v>2.1898134559225896E+34</v>
      </c>
      <c r="C1365" s="4">
        <f>StudentsY1*(1+StudentGrowth)^1363*CreditsPerStudent*TuitionPerCredit</f>
        <v>1.3686334099516185E+35</v>
      </c>
      <c r="D1365" s="4">
        <f>SimRevY1*(1+SimGrowth)^1363</f>
        <v>1.3097845854036415E+61</v>
      </c>
      <c r="E1365" s="4">
        <f>FacDevRevY1*(1+FacDevGrowth)^1363</f>
        <v>6.5489229270182073E+60</v>
      </c>
      <c r="F1365" s="4">
        <f t="shared" si="84"/>
        <v>1.9646768781054622E+61</v>
      </c>
      <c r="G1365" s="4">
        <f t="shared" si="85"/>
        <v>1.9646768781054622E+61</v>
      </c>
      <c r="H1365" s="4">
        <f>SalaryFTECount*SalaryPerFTE*(1+SalaryGrowth)^1363</f>
        <v>3.4566925925086962E+28</v>
      </c>
      <c r="I1365" s="4">
        <f>SimOpsY1*(1+SimOpsGrowth)^1363</f>
        <v>1.0806871399172696E+50</v>
      </c>
      <c r="J1365" s="4">
        <f>TrainDevY1*(1+TrainDevGrowth)^1363</f>
        <v>5.403435699586348E+49</v>
      </c>
      <c r="K1365" s="4">
        <f>AdminY1*(1+AdminGrowth)^1363</f>
        <v>6.207608963322197E+38</v>
      </c>
      <c r="L1365" s="4">
        <f t="shared" si="86"/>
        <v>1.6210307098821121E+50</v>
      </c>
      <c r="M1365" s="4">
        <f t="shared" si="87"/>
        <v>1.9646768780892518E+61</v>
      </c>
    </row>
    <row r="1366" spans="1:13" x14ac:dyDescent="0.2">
      <c r="A1366" s="3">
        <f>StartYear+1364</f>
        <v>3389</v>
      </c>
      <c r="B1366" s="4">
        <f>FacultyFTE*HoursPerWeek*WeeksPerYear*RatePerHour*(1+PracticeGrowth)^1364</f>
        <v>2.2993041287187189E+34</v>
      </c>
      <c r="C1366" s="4">
        <f>StudentsY1*(1+StudentGrowth)^1364*CreditsPerStudent*TuitionPerCredit</f>
        <v>1.4370650804491992E+35</v>
      </c>
      <c r="D1366" s="4">
        <f>SimRevY1*(1+SimGrowth)^1364</f>
        <v>1.440763043944005E+61</v>
      </c>
      <c r="E1366" s="4">
        <f>FacDevRevY1*(1+FacDevGrowth)^1364</f>
        <v>7.2038152197200252E+60</v>
      </c>
      <c r="F1366" s="4">
        <f t="shared" si="84"/>
        <v>2.1611445659160076E+61</v>
      </c>
      <c r="G1366" s="4">
        <f t="shared" si="85"/>
        <v>2.1611445659160076E+61</v>
      </c>
      <c r="H1366" s="4">
        <f>SalaryFTECount*SalaryPerFTE*(1+SalaryGrowth)^1364</f>
        <v>3.5949602962090442E+28</v>
      </c>
      <c r="I1366" s="4">
        <f>SimOpsY1*(1+SimOpsGrowth)^1364</f>
        <v>1.167142111110651E+50</v>
      </c>
      <c r="J1366" s="4">
        <f>TrainDevY1*(1+TrainDevGrowth)^1364</f>
        <v>5.8357105555532552E+49</v>
      </c>
      <c r="K1366" s="4">
        <f>AdminY1*(1+AdminGrowth)^1364</f>
        <v>6.5800655011215289E+38</v>
      </c>
      <c r="L1366" s="4">
        <f t="shared" si="86"/>
        <v>1.7507131666725565E+50</v>
      </c>
      <c r="M1366" s="4">
        <f t="shared" si="87"/>
        <v>2.1611445658985004E+61</v>
      </c>
    </row>
    <row r="1367" spans="1:13" x14ac:dyDescent="0.2">
      <c r="A1367" s="3">
        <f>StartYear+1365</f>
        <v>3390</v>
      </c>
      <c r="B1367" s="4">
        <f>FacultyFTE*HoursPerWeek*WeeksPerYear*RatePerHour*(1+PracticeGrowth)^1365</f>
        <v>2.4142693351546551E+34</v>
      </c>
      <c r="C1367" s="4">
        <f>StudentsY1*(1+StudentGrowth)^1365*CreditsPerStudent*TuitionPerCredit</f>
        <v>1.5089183344716595E+35</v>
      </c>
      <c r="D1367" s="4">
        <f>SimRevY1*(1+SimGrowth)^1365</f>
        <v>1.5848393483384059E+61</v>
      </c>
      <c r="E1367" s="4">
        <f>FacDevRevY1*(1+FacDevGrowth)^1365</f>
        <v>7.9241967416920294E+60</v>
      </c>
      <c r="F1367" s="4">
        <f t="shared" si="84"/>
        <v>2.3772590225076088E+61</v>
      </c>
      <c r="G1367" s="4">
        <f t="shared" si="85"/>
        <v>2.3772590225076088E+61</v>
      </c>
      <c r="H1367" s="4">
        <f>SalaryFTECount*SalaryPerFTE*(1+SalaryGrowth)^1365</f>
        <v>3.7387587080574072E+28</v>
      </c>
      <c r="I1367" s="4">
        <f>SimOpsY1*(1+SimOpsGrowth)^1365</f>
        <v>1.2605134799995032E+50</v>
      </c>
      <c r="J1367" s="4">
        <f>TrainDevY1*(1+TrainDevGrowth)^1365</f>
        <v>6.3025673999975162E+49</v>
      </c>
      <c r="K1367" s="4">
        <f>AdminY1*(1+AdminGrowth)^1365</f>
        <v>6.974869431188822E+38</v>
      </c>
      <c r="L1367" s="4">
        <f t="shared" si="86"/>
        <v>1.8907702200062295E+50</v>
      </c>
      <c r="M1367" s="4">
        <f t="shared" si="87"/>
        <v>2.3772590224887012E+61</v>
      </c>
    </row>
    <row r="1368" spans="1:13" x14ac:dyDescent="0.2">
      <c r="A1368" s="3">
        <f>StartYear+1366</f>
        <v>3391</v>
      </c>
      <c r="B1368" s="4">
        <f>FacultyFTE*HoursPerWeek*WeeksPerYear*RatePerHour*(1+PracticeGrowth)^1366</f>
        <v>2.5349828019123873E+34</v>
      </c>
      <c r="C1368" s="4">
        <f>StudentsY1*(1+StudentGrowth)^1366*CreditsPerStudent*TuitionPerCredit</f>
        <v>1.5843642511952421E+35</v>
      </c>
      <c r="D1368" s="4">
        <f>SimRevY1*(1+SimGrowth)^1366</f>
        <v>1.7433232831722468E+61</v>
      </c>
      <c r="E1368" s="4">
        <f>FacDevRevY1*(1+FacDevGrowth)^1366</f>
        <v>8.7166164158612338E+60</v>
      </c>
      <c r="F1368" s="4">
        <f t="shared" si="84"/>
        <v>2.61498492475837E+61</v>
      </c>
      <c r="G1368" s="4">
        <f t="shared" si="85"/>
        <v>2.61498492475837E+61</v>
      </c>
      <c r="H1368" s="4">
        <f>SalaryFTECount*SalaryPerFTE*(1+SalaryGrowth)^1366</f>
        <v>3.8883090563797035E+28</v>
      </c>
      <c r="I1368" s="4">
        <f>SimOpsY1*(1+SimOpsGrowth)^1366</f>
        <v>1.3613545583994635E+50</v>
      </c>
      <c r="J1368" s="4">
        <f>TrainDevY1*(1+TrainDevGrowth)^1366</f>
        <v>6.8067727919973176E+49</v>
      </c>
      <c r="K1368" s="4">
        <f>AdminY1*(1+AdminGrowth)^1366</f>
        <v>7.393361597060152E+38</v>
      </c>
      <c r="L1368" s="4">
        <f t="shared" si="86"/>
        <v>2.0420318376065887E+50</v>
      </c>
      <c r="M1368" s="4">
        <f t="shared" si="87"/>
        <v>2.6149849247379495E+61</v>
      </c>
    </row>
    <row r="1369" spans="1:13" x14ac:dyDescent="0.2">
      <c r="A1369" s="3">
        <f>StartYear+1367</f>
        <v>3392</v>
      </c>
      <c r="B1369" s="4">
        <f>FacultyFTE*HoursPerWeek*WeeksPerYear*RatePerHour*(1+PracticeGrowth)^1367</f>
        <v>2.6617319420080076E+34</v>
      </c>
      <c r="C1369" s="4">
        <f>StudentsY1*(1+StudentGrowth)^1367*CreditsPerStudent*TuitionPerCredit</f>
        <v>1.6635824637550047E+35</v>
      </c>
      <c r="D1369" s="4">
        <f>SimRevY1*(1+SimGrowth)^1367</f>
        <v>1.9176556114894712E+61</v>
      </c>
      <c r="E1369" s="4">
        <f>FacDevRevY1*(1+FacDevGrowth)^1367</f>
        <v>9.5882780574473559E+60</v>
      </c>
      <c r="F1369" s="4">
        <f t="shared" si="84"/>
        <v>2.8764834172342068E+61</v>
      </c>
      <c r="G1369" s="4">
        <f t="shared" si="85"/>
        <v>2.8764834172342068E+61</v>
      </c>
      <c r="H1369" s="4">
        <f>SalaryFTECount*SalaryPerFTE*(1+SalaryGrowth)^1367</f>
        <v>4.043841418634891E+28</v>
      </c>
      <c r="I1369" s="4">
        <f>SimOpsY1*(1+SimOpsGrowth)^1367</f>
        <v>1.4702629230714207E+50</v>
      </c>
      <c r="J1369" s="4">
        <f>TrainDevY1*(1+TrainDevGrowth)^1367</f>
        <v>7.3513146153571033E+49</v>
      </c>
      <c r="K1369" s="4">
        <f>AdminY1*(1+AdminGrowth)^1367</f>
        <v>7.8369632928837613E+38</v>
      </c>
      <c r="L1369" s="4">
        <f t="shared" si="86"/>
        <v>2.2053943846149682E+50</v>
      </c>
      <c r="M1369" s="4">
        <f t="shared" si="87"/>
        <v>2.8764834172121529E+61</v>
      </c>
    </row>
    <row r="1370" spans="1:13" x14ac:dyDescent="0.2">
      <c r="A1370" s="3">
        <f>StartYear+1368</f>
        <v>3393</v>
      </c>
      <c r="B1370" s="4">
        <f>FacultyFTE*HoursPerWeek*WeeksPerYear*RatePerHour*(1+PracticeGrowth)^1368</f>
        <v>2.7948185391084074E+34</v>
      </c>
      <c r="C1370" s="4">
        <f>StudentsY1*(1+StudentGrowth)^1368*CreditsPerStudent*TuitionPerCredit</f>
        <v>1.7467615869427543E+35</v>
      </c>
      <c r="D1370" s="4">
        <f>SimRevY1*(1+SimGrowth)^1368</f>
        <v>2.109421172638418E+61</v>
      </c>
      <c r="E1370" s="4">
        <f>FacDevRevY1*(1+FacDevGrowth)^1368</f>
        <v>1.054710586319209E+61</v>
      </c>
      <c r="F1370" s="4">
        <f t="shared" si="84"/>
        <v>3.1641317589576269E+61</v>
      </c>
      <c r="G1370" s="4">
        <f t="shared" si="85"/>
        <v>3.1641317589576269E+61</v>
      </c>
      <c r="H1370" s="4">
        <f>SalaryFTECount*SalaryPerFTE*(1+SalaryGrowth)^1368</f>
        <v>4.2055950753802859E+28</v>
      </c>
      <c r="I1370" s="4">
        <f>SimOpsY1*(1+SimOpsGrowth)^1368</f>
        <v>1.5878839569171345E+50</v>
      </c>
      <c r="J1370" s="4">
        <f>TrainDevY1*(1+TrainDevGrowth)^1368</f>
        <v>7.9394197845856723E+49</v>
      </c>
      <c r="K1370" s="4">
        <f>AdminY1*(1+AdminGrowth)^1368</f>
        <v>8.3071810904567873E+38</v>
      </c>
      <c r="L1370" s="4">
        <f t="shared" si="86"/>
        <v>2.3818259353840092E+50</v>
      </c>
      <c r="M1370" s="4">
        <f t="shared" si="87"/>
        <v>3.1641317589338084E+61</v>
      </c>
    </row>
    <row r="1371" spans="1:13" x14ac:dyDescent="0.2">
      <c r="A1371" s="3">
        <f>StartYear+1369</f>
        <v>3394</v>
      </c>
      <c r="B1371" s="4">
        <f>FacultyFTE*HoursPerWeek*WeeksPerYear*RatePerHour*(1+PracticeGrowth)^1369</f>
        <v>2.9345594660638278E+34</v>
      </c>
      <c r="C1371" s="4">
        <f>StudentsY1*(1+StudentGrowth)^1369*CreditsPerStudent*TuitionPerCredit</f>
        <v>1.8340996662898924E+35</v>
      </c>
      <c r="D1371" s="4">
        <f>SimRevY1*(1+SimGrowth)^1369</f>
        <v>2.3203632899022608E+61</v>
      </c>
      <c r="E1371" s="4">
        <f>FacDevRevY1*(1+FacDevGrowth)^1369</f>
        <v>1.1601816449511304E+61</v>
      </c>
      <c r="F1371" s="4">
        <f t="shared" si="84"/>
        <v>3.4805449348533912E+61</v>
      </c>
      <c r="G1371" s="4">
        <f t="shared" si="85"/>
        <v>3.4805449348533912E+61</v>
      </c>
      <c r="H1371" s="4">
        <f>SalaryFTECount*SalaryPerFTE*(1+SalaryGrowth)^1369</f>
        <v>4.3738188783954996E+28</v>
      </c>
      <c r="I1371" s="4">
        <f>SimOpsY1*(1+SimOpsGrowth)^1369</f>
        <v>1.7149146734705056E+50</v>
      </c>
      <c r="J1371" s="4">
        <f>TrainDevY1*(1+TrainDevGrowth)^1369</f>
        <v>8.574573367352528E+49</v>
      </c>
      <c r="K1371" s="4">
        <f>AdminY1*(1+AdminGrowth)^1369</f>
        <v>8.8056119558841935E+38</v>
      </c>
      <c r="L1371" s="4">
        <f t="shared" si="86"/>
        <v>2.5723720102145641E+50</v>
      </c>
      <c r="M1371" s="4">
        <f t="shared" si="87"/>
        <v>3.4805449348276677E+61</v>
      </c>
    </row>
    <row r="1372" spans="1:13" x14ac:dyDescent="0.2">
      <c r="A1372" s="3">
        <f>StartYear+1370</f>
        <v>3395</v>
      </c>
      <c r="B1372" s="4">
        <f>FacultyFTE*HoursPerWeek*WeeksPerYear*RatePerHour*(1+PracticeGrowth)^1370</f>
        <v>3.081287439367019E+34</v>
      </c>
      <c r="C1372" s="4">
        <f>StudentsY1*(1+StudentGrowth)^1370*CreditsPerStudent*TuitionPerCredit</f>
        <v>1.925804649604387E+35</v>
      </c>
      <c r="D1372" s="4">
        <f>SimRevY1*(1+SimGrowth)^1370</f>
        <v>2.5523996188924867E+61</v>
      </c>
      <c r="E1372" s="4">
        <f>FacDevRevY1*(1+FacDevGrowth)^1370</f>
        <v>1.2761998094462434E+61</v>
      </c>
      <c r="F1372" s="4">
        <f t="shared" si="84"/>
        <v>3.8285994283387302E+61</v>
      </c>
      <c r="G1372" s="4">
        <f t="shared" si="85"/>
        <v>3.8285994283387302E+61</v>
      </c>
      <c r="H1372" s="4">
        <f>SalaryFTECount*SalaryPerFTE*(1+SalaryGrowth)^1370</f>
        <v>4.5487716335313188E+28</v>
      </c>
      <c r="I1372" s="4">
        <f>SimOpsY1*(1+SimOpsGrowth)^1370</f>
        <v>1.852107847348146E+50</v>
      </c>
      <c r="J1372" s="4">
        <f>TrainDevY1*(1+TrainDevGrowth)^1370</f>
        <v>9.2605392367407302E+49</v>
      </c>
      <c r="K1372" s="4">
        <f>AdminY1*(1+AdminGrowth)^1370</f>
        <v>9.3339486732372459E+38</v>
      </c>
      <c r="L1372" s="4">
        <f t="shared" si="86"/>
        <v>2.7781617710315532E+50</v>
      </c>
      <c r="M1372" s="4">
        <f t="shared" si="87"/>
        <v>3.8285994283109486E+61</v>
      </c>
    </row>
    <row r="1373" spans="1:13" x14ac:dyDescent="0.2">
      <c r="A1373" s="3">
        <f>StartYear+1371</f>
        <v>3396</v>
      </c>
      <c r="B1373" s="4">
        <f>FacultyFTE*HoursPerWeek*WeeksPerYear*RatePerHour*(1+PracticeGrowth)^1371</f>
        <v>3.2353518113353709E+34</v>
      </c>
      <c r="C1373" s="4">
        <f>StudentsY1*(1+StudentGrowth)^1371*CreditsPerStudent*TuitionPerCredit</f>
        <v>2.022094882084607E+35</v>
      </c>
      <c r="D1373" s="4">
        <f>SimRevY1*(1+SimGrowth)^1371</f>
        <v>2.8076395807817361E+61</v>
      </c>
      <c r="E1373" s="4">
        <f>FacDevRevY1*(1+FacDevGrowth)^1371</f>
        <v>1.4038197903908681E+61</v>
      </c>
      <c r="F1373" s="4">
        <f t="shared" si="84"/>
        <v>4.2114593711726039E+61</v>
      </c>
      <c r="G1373" s="4">
        <f t="shared" si="85"/>
        <v>4.2114593711726039E+61</v>
      </c>
      <c r="H1373" s="4">
        <f>SalaryFTECount*SalaryPerFTE*(1+SalaryGrowth)^1371</f>
        <v>4.7307224988725723E+28</v>
      </c>
      <c r="I1373" s="4">
        <f>SimOpsY1*(1+SimOpsGrowth)^1371</f>
        <v>2.0002764751359972E+50</v>
      </c>
      <c r="J1373" s="4">
        <f>TrainDevY1*(1+TrainDevGrowth)^1371</f>
        <v>1.0001382375679986E+50</v>
      </c>
      <c r="K1373" s="4">
        <f>AdminY1*(1+AdminGrowth)^1371</f>
        <v>9.8939855936314815E+38</v>
      </c>
      <c r="L1373" s="4">
        <f t="shared" si="86"/>
        <v>3.00041471271389E+50</v>
      </c>
      <c r="M1373" s="4">
        <f t="shared" si="87"/>
        <v>4.2114593711425997E+61</v>
      </c>
    </row>
    <row r="1374" spans="1:13" x14ac:dyDescent="0.2">
      <c r="A1374" s="3">
        <f>StartYear+1372</f>
        <v>3397</v>
      </c>
      <c r="B1374" s="4">
        <f>FacultyFTE*HoursPerWeek*WeeksPerYear*RatePerHour*(1+PracticeGrowth)^1372</f>
        <v>3.3971194019021385E+34</v>
      </c>
      <c r="C1374" s="4">
        <f>StudentsY1*(1+StudentGrowth)^1372*CreditsPerStudent*TuitionPerCredit</f>
        <v>2.1231996261888366E+35</v>
      </c>
      <c r="D1374" s="4">
        <f>SimRevY1*(1+SimGrowth)^1372</f>
        <v>3.0884035388599094E+61</v>
      </c>
      <c r="E1374" s="4">
        <f>FacDevRevY1*(1+FacDevGrowth)^1372</f>
        <v>1.5442017694299547E+61</v>
      </c>
      <c r="F1374" s="4">
        <f t="shared" si="84"/>
        <v>4.6326053082898642E+61</v>
      </c>
      <c r="G1374" s="4">
        <f t="shared" si="85"/>
        <v>4.6326053082898642E+61</v>
      </c>
      <c r="H1374" s="4">
        <f>SalaryFTECount*SalaryPerFTE*(1+SalaryGrowth)^1372</f>
        <v>4.9199513988274756E+28</v>
      </c>
      <c r="I1374" s="4">
        <f>SimOpsY1*(1+SimOpsGrowth)^1372</f>
        <v>2.1602985931468771E+50</v>
      </c>
      <c r="J1374" s="4">
        <f>TrainDevY1*(1+TrainDevGrowth)^1372</f>
        <v>1.0801492965734385E+50</v>
      </c>
      <c r="K1374" s="4">
        <f>AdminY1*(1+AdminGrowth)^1372</f>
        <v>1.048762472924937E+39</v>
      </c>
      <c r="L1374" s="4">
        <f t="shared" si="86"/>
        <v>3.2404478897308032E+50</v>
      </c>
      <c r="M1374" s="4">
        <f t="shared" si="87"/>
        <v>4.6326053082574599E+61</v>
      </c>
    </row>
    <row r="1375" spans="1:13" x14ac:dyDescent="0.2">
      <c r="A1375" s="3">
        <f>StartYear+1373</f>
        <v>3398</v>
      </c>
      <c r="B1375" s="4">
        <f>FacultyFTE*HoursPerWeek*WeeksPerYear*RatePerHour*(1+PracticeGrowth)^1373</f>
        <v>3.5669753719972465E+34</v>
      </c>
      <c r="C1375" s="4">
        <f>StudentsY1*(1+StudentGrowth)^1373*CreditsPerStudent*TuitionPerCredit</f>
        <v>2.2293596074982787E+35</v>
      </c>
      <c r="D1375" s="4">
        <f>SimRevY1*(1+SimGrowth)^1373</f>
        <v>3.3972438927459003E+61</v>
      </c>
      <c r="E1375" s="4">
        <f>FacDevRevY1*(1+FacDevGrowth)^1373</f>
        <v>1.6986219463729501E+61</v>
      </c>
      <c r="F1375" s="4">
        <f t="shared" si="84"/>
        <v>5.0958658391188507E+61</v>
      </c>
      <c r="G1375" s="4">
        <f t="shared" si="85"/>
        <v>5.0958658391188507E+61</v>
      </c>
      <c r="H1375" s="4">
        <f>SalaryFTECount*SalaryPerFTE*(1+SalaryGrowth)^1373</f>
        <v>5.1167494547805748E+28</v>
      </c>
      <c r="I1375" s="4">
        <f>SimOpsY1*(1+SimOpsGrowth)^1373</f>
        <v>2.3331224805986273E+50</v>
      </c>
      <c r="J1375" s="4">
        <f>TrainDevY1*(1+TrainDevGrowth)^1373</f>
        <v>1.1665612402993136E+50</v>
      </c>
      <c r="K1375" s="4">
        <f>AdminY1*(1+AdminGrowth)^1373</f>
        <v>1.1116882213004335E+39</v>
      </c>
      <c r="L1375" s="4">
        <f t="shared" si="86"/>
        <v>3.499683720909058E+50</v>
      </c>
      <c r="M1375" s="4">
        <f t="shared" si="87"/>
        <v>5.095865839083854E+61</v>
      </c>
    </row>
    <row r="1376" spans="1:13" x14ac:dyDescent="0.2">
      <c r="A1376" s="3">
        <f>StartYear+1374</f>
        <v>3399</v>
      </c>
      <c r="B1376" s="4">
        <f>FacultyFTE*HoursPerWeek*WeeksPerYear*RatePerHour*(1+PracticeGrowth)^1374</f>
        <v>3.7453241405971072E+34</v>
      </c>
      <c r="C1376" s="4">
        <f>StudentsY1*(1+StudentGrowth)^1374*CreditsPerStudent*TuitionPerCredit</f>
        <v>2.3408275878731918E+35</v>
      </c>
      <c r="D1376" s="4">
        <f>SimRevY1*(1+SimGrowth)^1374</f>
        <v>3.736968282020491E+61</v>
      </c>
      <c r="E1376" s="4">
        <f>FacDevRevY1*(1+FacDevGrowth)^1374</f>
        <v>1.8684841410102455E+61</v>
      </c>
      <c r="F1376" s="4">
        <f t="shared" si="84"/>
        <v>5.6054524230307371E+61</v>
      </c>
      <c r="G1376" s="4">
        <f t="shared" si="85"/>
        <v>5.6054524230307371E+61</v>
      </c>
      <c r="H1376" s="4">
        <f>SalaryFTECount*SalaryPerFTE*(1+SalaryGrowth)^1374</f>
        <v>5.3214194329717972E+28</v>
      </c>
      <c r="I1376" s="4">
        <f>SimOpsY1*(1+SimOpsGrowth)^1374</f>
        <v>2.5197722790465181E+50</v>
      </c>
      <c r="J1376" s="4">
        <f>TrainDevY1*(1+TrainDevGrowth)^1374</f>
        <v>1.2598861395232591E+50</v>
      </c>
      <c r="K1376" s="4">
        <f>AdminY1*(1+AdminGrowth)^1374</f>
        <v>1.1783895145784597E+39</v>
      </c>
      <c r="L1376" s="4">
        <f t="shared" si="86"/>
        <v>3.7796584185815606E+50</v>
      </c>
      <c r="M1376" s="4">
        <f t="shared" si="87"/>
        <v>5.6054524229929402E+61</v>
      </c>
    </row>
    <row r="1377" spans="1:13" x14ac:dyDescent="0.2">
      <c r="A1377" s="3">
        <f>StartYear+1375</f>
        <v>3400</v>
      </c>
      <c r="B1377" s="4">
        <f>FacultyFTE*HoursPerWeek*WeeksPerYear*RatePerHour*(1+PracticeGrowth)^1375</f>
        <v>3.9325903476269645E+34</v>
      </c>
      <c r="C1377" s="4">
        <f>StudentsY1*(1+StudentGrowth)^1375*CreditsPerStudent*TuitionPerCredit</f>
        <v>2.457868967266853E+35</v>
      </c>
      <c r="D1377" s="4">
        <f>SimRevY1*(1+SimGrowth)^1375</f>
        <v>4.1106651102225407E+61</v>
      </c>
      <c r="E1377" s="4">
        <f>FacDevRevY1*(1+FacDevGrowth)^1375</f>
        <v>2.0553325551112704E+61</v>
      </c>
      <c r="F1377" s="4">
        <f t="shared" si="84"/>
        <v>6.1659976653338111E+61</v>
      </c>
      <c r="G1377" s="4">
        <f t="shared" si="85"/>
        <v>6.1659976653338111E+61</v>
      </c>
      <c r="H1377" s="4">
        <f>SalaryFTECount*SalaryPerFTE*(1+SalaryGrowth)^1375</f>
        <v>5.5342762102906687E+28</v>
      </c>
      <c r="I1377" s="4">
        <f>SimOpsY1*(1+SimOpsGrowth)^1375</f>
        <v>2.72135406137024E+50</v>
      </c>
      <c r="J1377" s="4">
        <f>TrainDevY1*(1+TrainDevGrowth)^1375</f>
        <v>1.36067703068512E+50</v>
      </c>
      <c r="K1377" s="4">
        <f>AdminY1*(1+AdminGrowth)^1375</f>
        <v>1.2490928854531676E+39</v>
      </c>
      <c r="L1377" s="4">
        <f t="shared" si="86"/>
        <v>4.0820310920678506E+50</v>
      </c>
      <c r="M1377" s="4">
        <f t="shared" si="87"/>
        <v>6.1659976652929906E+61</v>
      </c>
    </row>
    <row r="1378" spans="1:13" x14ac:dyDescent="0.2">
      <c r="A1378" s="3">
        <f>StartYear+1376</f>
        <v>3401</v>
      </c>
      <c r="B1378" s="4">
        <f>FacultyFTE*HoursPerWeek*WeeksPerYear*RatePerHour*(1+PracticeGrowth)^1376</f>
        <v>4.1292198650083127E+34</v>
      </c>
      <c r="C1378" s="4">
        <f>StudentsY1*(1+StudentGrowth)^1376*CreditsPerStudent*TuitionPerCredit</f>
        <v>2.5807624156301956E+35</v>
      </c>
      <c r="D1378" s="4">
        <f>SimRevY1*(1+SimGrowth)^1376</f>
        <v>4.5217316212447951E+61</v>
      </c>
      <c r="E1378" s="4">
        <f>FacDevRevY1*(1+FacDevGrowth)^1376</f>
        <v>2.2608658106223976E+61</v>
      </c>
      <c r="F1378" s="4">
        <f t="shared" si="84"/>
        <v>6.782597431867193E+61</v>
      </c>
      <c r="G1378" s="4">
        <f t="shared" si="85"/>
        <v>6.782597431867193E+61</v>
      </c>
      <c r="H1378" s="4">
        <f>SalaryFTECount*SalaryPerFTE*(1+SalaryGrowth)^1376</f>
        <v>5.7556472587022962E+28</v>
      </c>
      <c r="I1378" s="4">
        <f>SimOpsY1*(1+SimOpsGrowth)^1376</f>
        <v>2.939062386279859E+50</v>
      </c>
      <c r="J1378" s="4">
        <f>TrainDevY1*(1+TrainDevGrowth)^1376</f>
        <v>1.4695311931399295E+50</v>
      </c>
      <c r="K1378" s="4">
        <f>AdminY1*(1+AdminGrowth)^1376</f>
        <v>1.3240384585803571E+39</v>
      </c>
      <c r="L1378" s="4">
        <f t="shared" si="86"/>
        <v>4.4085935794330293E+50</v>
      </c>
      <c r="M1378" s="4">
        <f t="shared" si="87"/>
        <v>6.782597431823107E+61</v>
      </c>
    </row>
    <row r="1379" spans="1:13" x14ac:dyDescent="0.2">
      <c r="A1379" s="3">
        <f>StartYear+1377</f>
        <v>3402</v>
      </c>
      <c r="B1379" s="4">
        <f>FacultyFTE*HoursPerWeek*WeeksPerYear*RatePerHour*(1+PracticeGrowth)^1377</f>
        <v>4.3356808582587277E+34</v>
      </c>
      <c r="C1379" s="4">
        <f>StudentsY1*(1+StudentGrowth)^1377*CreditsPerStudent*TuitionPerCredit</f>
        <v>2.7098005364117048E+35</v>
      </c>
      <c r="D1379" s="4">
        <f>SimRevY1*(1+SimGrowth)^1377</f>
        <v>4.9739047833692746E+61</v>
      </c>
      <c r="E1379" s="4">
        <f>FacDevRevY1*(1+FacDevGrowth)^1377</f>
        <v>2.4869523916846373E+61</v>
      </c>
      <c r="F1379" s="4">
        <f t="shared" si="84"/>
        <v>7.4608571750539122E+61</v>
      </c>
      <c r="G1379" s="4">
        <f t="shared" si="85"/>
        <v>7.4608571750539122E+61</v>
      </c>
      <c r="H1379" s="4">
        <f>SalaryFTECount*SalaryPerFTE*(1+SalaryGrowth)^1377</f>
        <v>5.9858731490503882E+28</v>
      </c>
      <c r="I1379" s="4">
        <f>SimOpsY1*(1+SimOpsGrowth)^1377</f>
        <v>3.1741873771822479E+50</v>
      </c>
      <c r="J1379" s="4">
        <f>TrainDevY1*(1+TrainDevGrowth)^1377</f>
        <v>1.587093688591124E+50</v>
      </c>
      <c r="K1379" s="4">
        <f>AdminY1*(1+AdminGrowth)^1377</f>
        <v>1.4034807660951787E+39</v>
      </c>
      <c r="L1379" s="4">
        <f t="shared" si="86"/>
        <v>4.7612810657874067E+50</v>
      </c>
      <c r="M1379" s="4">
        <f t="shared" si="87"/>
        <v>7.4608571750062992E+61</v>
      </c>
    </row>
    <row r="1380" spans="1:13" x14ac:dyDescent="0.2">
      <c r="A1380" s="3">
        <f>StartYear+1378</f>
        <v>3403</v>
      </c>
      <c r="B1380" s="4">
        <f>FacultyFTE*HoursPerWeek*WeeksPerYear*RatePerHour*(1+PracticeGrowth)^1378</f>
        <v>4.5524649011716646E+34</v>
      </c>
      <c r="C1380" s="4">
        <f>StudentsY1*(1+StudentGrowth)^1378*CreditsPerStudent*TuitionPerCredit</f>
        <v>2.8452905632322902E+35</v>
      </c>
      <c r="D1380" s="4">
        <f>SimRevY1*(1+SimGrowth)^1378</f>
        <v>5.4712952617062019E+61</v>
      </c>
      <c r="E1380" s="4">
        <f>FacDevRevY1*(1+FacDevGrowth)^1378</f>
        <v>2.7356476308531009E+61</v>
      </c>
      <c r="F1380" s="4">
        <f t="shared" si="84"/>
        <v>8.2069428925593022E+61</v>
      </c>
      <c r="G1380" s="4">
        <f t="shared" si="85"/>
        <v>8.2069428925593022E+61</v>
      </c>
      <c r="H1380" s="4">
        <f>SalaryFTECount*SalaryPerFTE*(1+SalaryGrowth)^1378</f>
        <v>6.2253080750124045E+28</v>
      </c>
      <c r="I1380" s="4">
        <f>SimOpsY1*(1+SimOpsGrowth)^1378</f>
        <v>3.4281223673568277E+50</v>
      </c>
      <c r="J1380" s="4">
        <f>TrainDevY1*(1+TrainDevGrowth)^1378</f>
        <v>1.7140611836784138E+50</v>
      </c>
      <c r="K1380" s="4">
        <f>AdminY1*(1+AdminGrowth)^1378</f>
        <v>1.4876896120608896E+39</v>
      </c>
      <c r="L1380" s="4">
        <f t="shared" si="86"/>
        <v>5.1421835510501184E+50</v>
      </c>
      <c r="M1380" s="4">
        <f t="shared" si="87"/>
        <v>8.2069428925078802E+61</v>
      </c>
    </row>
    <row r="1381" spans="1:13" x14ac:dyDescent="0.2">
      <c r="A1381" s="3">
        <f>StartYear+1379</f>
        <v>3404</v>
      </c>
      <c r="B1381" s="4">
        <f>FacultyFTE*HoursPerWeek*WeeksPerYear*RatePerHour*(1+PracticeGrowth)^1379</f>
        <v>4.7800881462302476E+34</v>
      </c>
      <c r="C1381" s="4">
        <f>StudentsY1*(1+StudentGrowth)^1379*CreditsPerStudent*TuitionPerCredit</f>
        <v>2.987555091393905E+35</v>
      </c>
      <c r="D1381" s="4">
        <f>SimRevY1*(1+SimGrowth)^1379</f>
        <v>6.018424787876824E+61</v>
      </c>
      <c r="E1381" s="4">
        <f>FacDevRevY1*(1+FacDevGrowth)^1379</f>
        <v>3.009212393938412E+61</v>
      </c>
      <c r="F1381" s="4">
        <f t="shared" si="84"/>
        <v>9.0276371818152354E+61</v>
      </c>
      <c r="G1381" s="4">
        <f t="shared" si="85"/>
        <v>9.0276371818152354E+61</v>
      </c>
      <c r="H1381" s="4">
        <f>SalaryFTECount*SalaryPerFTE*(1+SalaryGrowth)^1379</f>
        <v>6.4743203980129003E+28</v>
      </c>
      <c r="I1381" s="4">
        <f>SimOpsY1*(1+SimOpsGrowth)^1379</f>
        <v>3.7023721567453745E+50</v>
      </c>
      <c r="J1381" s="4">
        <f>TrainDevY1*(1+TrainDevGrowth)^1379</f>
        <v>1.8511860783726873E+50</v>
      </c>
      <c r="K1381" s="4">
        <f>AdminY1*(1+AdminGrowth)^1379</f>
        <v>1.5769509887845431E+39</v>
      </c>
      <c r="L1381" s="4">
        <f t="shared" si="86"/>
        <v>5.5535582351338316E+50</v>
      </c>
      <c r="M1381" s="4">
        <f t="shared" si="87"/>
        <v>9.0276371817596995E+61</v>
      </c>
    </row>
    <row r="1382" spans="1:13" x14ac:dyDescent="0.2">
      <c r="A1382" s="3">
        <f>StartYear+1380</f>
        <v>3405</v>
      </c>
      <c r="B1382" s="4">
        <f>FacultyFTE*HoursPerWeek*WeeksPerYear*RatePerHour*(1+PracticeGrowth)^1380</f>
        <v>5.0190925535417589E+34</v>
      </c>
      <c r="C1382" s="4">
        <f>StudentsY1*(1+StudentGrowth)^1380*CreditsPerStudent*TuitionPerCredit</f>
        <v>3.1369328459635991E+35</v>
      </c>
      <c r="D1382" s="4">
        <f>SimRevY1*(1+SimGrowth)^1380</f>
        <v>6.6202672666645065E+61</v>
      </c>
      <c r="E1382" s="4">
        <f>FacDevRevY1*(1+FacDevGrowth)^1380</f>
        <v>3.3101336333322533E+61</v>
      </c>
      <c r="F1382" s="4">
        <f t="shared" si="84"/>
        <v>9.9304008999967603E+61</v>
      </c>
      <c r="G1382" s="4">
        <f t="shared" si="85"/>
        <v>9.9304008999967603E+61</v>
      </c>
      <c r="H1382" s="4">
        <f>SalaryFTECount*SalaryPerFTE*(1+SalaryGrowth)^1380</f>
        <v>6.7332932139334168E+28</v>
      </c>
      <c r="I1382" s="4">
        <f>SimOpsY1*(1+SimOpsGrowth)^1380</f>
        <v>3.9985619292850045E+50</v>
      </c>
      <c r="J1382" s="4">
        <f>TrainDevY1*(1+TrainDevGrowth)^1380</f>
        <v>1.9992809646425022E+50</v>
      </c>
      <c r="K1382" s="4">
        <f>AdminY1*(1+AdminGrowth)^1380</f>
        <v>1.6715680481116159E+39</v>
      </c>
      <c r="L1382" s="4">
        <f t="shared" si="86"/>
        <v>5.9978428939442226E+50</v>
      </c>
      <c r="M1382" s="4">
        <f t="shared" si="87"/>
        <v>9.9304008999367817E+61</v>
      </c>
    </row>
    <row r="1383" spans="1:13" x14ac:dyDescent="0.2">
      <c r="A1383" s="3">
        <f>StartYear+1381</f>
        <v>3406</v>
      </c>
      <c r="B1383" s="4">
        <f>FacultyFTE*HoursPerWeek*WeeksPerYear*RatePerHour*(1+PracticeGrowth)^1381</f>
        <v>5.2700471812188481E+34</v>
      </c>
      <c r="C1383" s="4">
        <f>StudentsY1*(1+StudentGrowth)^1381*CreditsPerStudent*TuitionPerCredit</f>
        <v>3.2937794882617803E+35</v>
      </c>
      <c r="D1383" s="4">
        <f>SimRevY1*(1+SimGrowth)^1381</f>
        <v>7.2822939933309564E+61</v>
      </c>
      <c r="E1383" s="4">
        <f>FacDevRevY1*(1+FacDevGrowth)^1381</f>
        <v>3.6411469966654782E+61</v>
      </c>
      <c r="F1383" s="4">
        <f t="shared" si="84"/>
        <v>1.0923440989996433E+62</v>
      </c>
      <c r="G1383" s="4">
        <f t="shared" si="85"/>
        <v>1.0923440989996433E+62</v>
      </c>
      <c r="H1383" s="4">
        <f>SalaryFTECount*SalaryPerFTE*(1+SalaryGrowth)^1381</f>
        <v>7.0026249424907555E+28</v>
      </c>
      <c r="I1383" s="4">
        <f>SimOpsY1*(1+SimOpsGrowth)^1381</f>
        <v>4.3184468836278046E+50</v>
      </c>
      <c r="J1383" s="4">
        <f>TrainDevY1*(1+TrainDevGrowth)^1381</f>
        <v>2.1592234418139023E+50</v>
      </c>
      <c r="K1383" s="4">
        <f>AdminY1*(1+AdminGrowth)^1381</f>
        <v>1.7718621309983127E+39</v>
      </c>
      <c r="L1383" s="4">
        <f t="shared" si="86"/>
        <v>6.477670325459425E+50</v>
      </c>
      <c r="M1383" s="4">
        <f t="shared" si="87"/>
        <v>1.0923440989931657E+62</v>
      </c>
    </row>
    <row r="1384" spans="1:13" x14ac:dyDescent="0.2">
      <c r="A1384" s="3">
        <f>StartYear+1382</f>
        <v>3407</v>
      </c>
      <c r="B1384" s="4">
        <f>FacultyFTE*HoursPerWeek*WeeksPerYear*RatePerHour*(1+PracticeGrowth)^1382</f>
        <v>5.5335495402797894E+34</v>
      </c>
      <c r="C1384" s="4">
        <f>StudentsY1*(1+StudentGrowth)^1382*CreditsPerStudent*TuitionPerCredit</f>
        <v>3.4584684626748686E+35</v>
      </c>
      <c r="D1384" s="4">
        <f>SimRevY1*(1+SimGrowth)^1382</f>
        <v>8.0105233926640534E+61</v>
      </c>
      <c r="E1384" s="4">
        <f>FacDevRevY1*(1+FacDevGrowth)^1382</f>
        <v>4.0052616963320267E+61</v>
      </c>
      <c r="F1384" s="4">
        <f t="shared" si="84"/>
        <v>1.2015785088996079E+62</v>
      </c>
      <c r="G1384" s="4">
        <f t="shared" si="85"/>
        <v>1.2015785088996079E+62</v>
      </c>
      <c r="H1384" s="4">
        <f>SalaryFTECount*SalaryPerFTE*(1+SalaryGrowth)^1382</f>
        <v>7.2827299401903849E+28</v>
      </c>
      <c r="I1384" s="4">
        <f>SimOpsY1*(1+SimOpsGrowth)^1382</f>
        <v>4.6639226343180302E+50</v>
      </c>
      <c r="J1384" s="4">
        <f>TrainDevY1*(1+TrainDevGrowth)^1382</f>
        <v>2.3319613171590151E+50</v>
      </c>
      <c r="K1384" s="4">
        <f>AdminY1*(1+AdminGrowth)^1382</f>
        <v>1.8781738588582116E+39</v>
      </c>
      <c r="L1384" s="4">
        <f t="shared" si="86"/>
        <v>6.9958839514958268E+50</v>
      </c>
      <c r="M1384" s="4">
        <f t="shared" si="87"/>
        <v>1.2015785088926122E+62</v>
      </c>
    </row>
    <row r="1385" spans="1:13" x14ac:dyDescent="0.2">
      <c r="A1385" s="3">
        <f>StartYear+1383</f>
        <v>3408</v>
      </c>
      <c r="B1385" s="4">
        <f>FacultyFTE*HoursPerWeek*WeeksPerYear*RatePerHour*(1+PracticeGrowth)^1383</f>
        <v>5.8102270172937802E+34</v>
      </c>
      <c r="C1385" s="4">
        <f>StudentsY1*(1+StudentGrowth)^1383*CreditsPerStudent*TuitionPerCredit</f>
        <v>3.6313918858086124E+35</v>
      </c>
      <c r="D1385" s="4">
        <f>SimRevY1*(1+SimGrowth)^1383</f>
        <v>8.8115757319304597E+61</v>
      </c>
      <c r="E1385" s="4">
        <f>FacDevRevY1*(1+FacDevGrowth)^1383</f>
        <v>4.4057878659652299E+61</v>
      </c>
      <c r="F1385" s="4">
        <f t="shared" si="84"/>
        <v>1.3217363597895689E+62</v>
      </c>
      <c r="G1385" s="4">
        <f t="shared" si="85"/>
        <v>1.3217363597895689E+62</v>
      </c>
      <c r="H1385" s="4">
        <f>SalaryFTECount*SalaryPerFTE*(1+SalaryGrowth)^1383</f>
        <v>7.5740391377979999E+28</v>
      </c>
      <c r="I1385" s="4">
        <f>SimOpsY1*(1+SimOpsGrowth)^1383</f>
        <v>5.037036445063472E+50</v>
      </c>
      <c r="J1385" s="4">
        <f>TrainDevY1*(1+TrainDevGrowth)^1383</f>
        <v>2.518518222531736E+50</v>
      </c>
      <c r="K1385" s="4">
        <f>AdminY1*(1+AdminGrowth)^1383</f>
        <v>1.9908642903897048E+39</v>
      </c>
      <c r="L1385" s="4">
        <f t="shared" si="86"/>
        <v>7.5555546676151161E+50</v>
      </c>
      <c r="M1385" s="4">
        <f t="shared" si="87"/>
        <v>1.3217363597820134E+62</v>
      </c>
    </row>
    <row r="1386" spans="1:13" x14ac:dyDescent="0.2">
      <c r="A1386" s="3">
        <f>StartYear+1384</f>
        <v>3409</v>
      </c>
      <c r="B1386" s="4">
        <f>FacultyFTE*HoursPerWeek*WeeksPerYear*RatePerHour*(1+PracticeGrowth)^1384</f>
        <v>6.1007383681584688E+34</v>
      </c>
      <c r="C1386" s="4">
        <f>StudentsY1*(1+StudentGrowth)^1384*CreditsPerStudent*TuitionPerCredit</f>
        <v>3.8129614800990433E+35</v>
      </c>
      <c r="D1386" s="4">
        <f>SimRevY1*(1+SimGrowth)^1384</f>
        <v>9.6927333051235061E+61</v>
      </c>
      <c r="E1386" s="4">
        <f>FacDevRevY1*(1+FacDevGrowth)^1384</f>
        <v>4.846366652561753E+61</v>
      </c>
      <c r="F1386" s="4">
        <f t="shared" si="84"/>
        <v>1.4539099957685259E+62</v>
      </c>
      <c r="G1386" s="4">
        <f t="shared" si="85"/>
        <v>1.4539099957685259E+62</v>
      </c>
      <c r="H1386" s="4">
        <f>SalaryFTECount*SalaryPerFTE*(1+SalaryGrowth)^1384</f>
        <v>7.8770007033099226E+28</v>
      </c>
      <c r="I1386" s="4">
        <f>SimOpsY1*(1+SimOpsGrowth)^1384</f>
        <v>5.4399993606685501E+50</v>
      </c>
      <c r="J1386" s="4">
        <f>TrainDevY1*(1+TrainDevGrowth)^1384</f>
        <v>2.719999680334275E+50</v>
      </c>
      <c r="K1386" s="4">
        <f>AdminY1*(1+AdminGrowth)^1384</f>
        <v>2.1103161478130864E+39</v>
      </c>
      <c r="L1386" s="4">
        <f t="shared" si="86"/>
        <v>8.1599990410239291E+50</v>
      </c>
      <c r="M1386" s="4">
        <f t="shared" si="87"/>
        <v>1.4539099957603659E+62</v>
      </c>
    </row>
    <row r="1387" spans="1:13" x14ac:dyDescent="0.2">
      <c r="A1387" s="3">
        <f>StartYear+1385</f>
        <v>3410</v>
      </c>
      <c r="B1387" s="4">
        <f>FacultyFTE*HoursPerWeek*WeeksPerYear*RatePerHour*(1+PracticeGrowth)^1385</f>
        <v>6.4057752865663921E+34</v>
      </c>
      <c r="C1387" s="4">
        <f>StudentsY1*(1+StudentGrowth)^1385*CreditsPerStudent*TuitionPerCredit</f>
        <v>4.0036095541039947E+35</v>
      </c>
      <c r="D1387" s="4">
        <f>SimRevY1*(1+SimGrowth)^1385</f>
        <v>1.0662006635635855E+62</v>
      </c>
      <c r="E1387" s="4">
        <f>FacDevRevY1*(1+FacDevGrowth)^1385</f>
        <v>5.3310033178179274E+61</v>
      </c>
      <c r="F1387" s="4">
        <f t="shared" si="84"/>
        <v>1.5993009953453781E+62</v>
      </c>
      <c r="G1387" s="4">
        <f t="shared" si="85"/>
        <v>1.5993009953453781E+62</v>
      </c>
      <c r="H1387" s="4">
        <f>SalaryFTECount*SalaryPerFTE*(1+SalaryGrowth)^1385</f>
        <v>8.1920807314423184E+28</v>
      </c>
      <c r="I1387" s="4">
        <f>SimOpsY1*(1+SimOpsGrowth)^1385</f>
        <v>5.8751993095220349E+50</v>
      </c>
      <c r="J1387" s="4">
        <f>TrainDevY1*(1+TrainDevGrowth)^1385</f>
        <v>2.9375996547610175E+50</v>
      </c>
      <c r="K1387" s="4">
        <f>AdminY1*(1+AdminGrowth)^1385</f>
        <v>2.2369351166818719E+39</v>
      </c>
      <c r="L1387" s="4">
        <f t="shared" si="86"/>
        <v>8.8127989643054216E+50</v>
      </c>
      <c r="M1387" s="4">
        <f t="shared" si="87"/>
        <v>1.5993009953365653E+62</v>
      </c>
    </row>
    <row r="1388" spans="1:13" x14ac:dyDescent="0.2">
      <c r="A1388" s="3">
        <f>StartYear+1386</f>
        <v>3411</v>
      </c>
      <c r="B1388" s="4">
        <f>FacultyFTE*HoursPerWeek*WeeksPerYear*RatePerHour*(1+PracticeGrowth)^1386</f>
        <v>6.7260640508947127E+34</v>
      </c>
      <c r="C1388" s="4">
        <f>StudentsY1*(1+StudentGrowth)^1386*CreditsPerStudent*TuitionPerCredit</f>
        <v>4.2037900318091955E+35</v>
      </c>
      <c r="D1388" s="4">
        <f>SimRevY1*(1+SimGrowth)^1386</f>
        <v>1.1728207299199443E+62</v>
      </c>
      <c r="E1388" s="4">
        <f>FacDevRevY1*(1+FacDevGrowth)^1386</f>
        <v>5.8641036495997214E+61</v>
      </c>
      <c r="F1388" s="4">
        <f t="shared" si="84"/>
        <v>1.7592310948799164E+62</v>
      </c>
      <c r="G1388" s="4">
        <f t="shared" si="85"/>
        <v>1.7592310948799164E+62</v>
      </c>
      <c r="H1388" s="4">
        <f>SalaryFTECount*SalaryPerFTE*(1+SalaryGrowth)^1386</f>
        <v>8.519763960700011E+28</v>
      </c>
      <c r="I1388" s="4">
        <f>SimOpsY1*(1+SimOpsGrowth)^1386</f>
        <v>6.3452152542837969E+50</v>
      </c>
      <c r="J1388" s="4">
        <f>TrainDevY1*(1+TrainDevGrowth)^1386</f>
        <v>3.1726076271418985E+50</v>
      </c>
      <c r="K1388" s="4">
        <f>AdminY1*(1+AdminGrowth)^1386</f>
        <v>2.3711512236827844E+39</v>
      </c>
      <c r="L1388" s="4">
        <f t="shared" si="86"/>
        <v>9.5178228814494071E+50</v>
      </c>
      <c r="M1388" s="4">
        <f t="shared" si="87"/>
        <v>1.7592310948703986E+62</v>
      </c>
    </row>
    <row r="1389" spans="1:13" x14ac:dyDescent="0.2">
      <c r="A1389" s="3">
        <f>StartYear+1387</f>
        <v>3412</v>
      </c>
      <c r="B1389" s="4">
        <f>FacultyFTE*HoursPerWeek*WeeksPerYear*RatePerHour*(1+PracticeGrowth)^1387</f>
        <v>7.0623672534394493E+34</v>
      </c>
      <c r="C1389" s="4">
        <f>StudentsY1*(1+StudentGrowth)^1387*CreditsPerStudent*TuitionPerCredit</f>
        <v>4.4139795333996551E+35</v>
      </c>
      <c r="D1389" s="4">
        <f>SimRevY1*(1+SimGrowth)^1387</f>
        <v>1.290102802911939E+62</v>
      </c>
      <c r="E1389" s="4">
        <f>FacDevRevY1*(1+FacDevGrowth)^1387</f>
        <v>6.4505140145596949E+61</v>
      </c>
      <c r="F1389" s="4">
        <f t="shared" si="84"/>
        <v>1.9351542043679085E+62</v>
      </c>
      <c r="G1389" s="4">
        <f t="shared" si="85"/>
        <v>1.9351542043679085E+62</v>
      </c>
      <c r="H1389" s="4">
        <f>SalaryFTECount*SalaryPerFTE*(1+SalaryGrowth)^1387</f>
        <v>8.8605545191280115E+28</v>
      </c>
      <c r="I1389" s="4">
        <f>SimOpsY1*(1+SimOpsGrowth)^1387</f>
        <v>6.8528324746265009E+50</v>
      </c>
      <c r="J1389" s="4">
        <f>TrainDevY1*(1+TrainDevGrowth)^1387</f>
        <v>3.4264162373132505E+50</v>
      </c>
      <c r="K1389" s="4">
        <f>AdminY1*(1+AdminGrowth)^1387</f>
        <v>2.5134202971037518E+39</v>
      </c>
      <c r="L1389" s="4">
        <f t="shared" si="86"/>
        <v>1.0279248711964885E+51</v>
      </c>
      <c r="M1389" s="4">
        <f t="shared" si="87"/>
        <v>1.9351542043576293E+62</v>
      </c>
    </row>
    <row r="1390" spans="1:13" x14ac:dyDescent="0.2">
      <c r="A1390" s="3">
        <f>StartYear+1388</f>
        <v>3413</v>
      </c>
      <c r="B1390" s="4">
        <f>FacultyFTE*HoursPerWeek*WeeksPerYear*RatePerHour*(1+PracticeGrowth)^1388</f>
        <v>7.4154856161114192E+34</v>
      </c>
      <c r="C1390" s="4">
        <f>StudentsY1*(1+StudentGrowth)^1388*CreditsPerStudent*TuitionPerCredit</f>
        <v>4.6346785100696373E+35</v>
      </c>
      <c r="D1390" s="4">
        <f>SimRevY1*(1+SimGrowth)^1388</f>
        <v>1.4191130832031331E+62</v>
      </c>
      <c r="E1390" s="4">
        <f>FacDevRevY1*(1+FacDevGrowth)^1388</f>
        <v>7.0955654160156653E+61</v>
      </c>
      <c r="F1390" s="4">
        <f t="shared" si="84"/>
        <v>2.1286696248046996E+62</v>
      </c>
      <c r="G1390" s="4">
        <f t="shared" si="85"/>
        <v>2.1286696248046996E+62</v>
      </c>
      <c r="H1390" s="4">
        <f>SalaryFTECount*SalaryPerFTE*(1+SalaryGrowth)^1388</f>
        <v>9.2149766998931327E+28</v>
      </c>
      <c r="I1390" s="4">
        <f>SimOpsY1*(1+SimOpsGrowth)^1388</f>
        <v>7.4010590725966226E+50</v>
      </c>
      <c r="J1390" s="4">
        <f>TrainDevY1*(1+TrainDevGrowth)^1388</f>
        <v>3.7005295362983113E+50</v>
      </c>
      <c r="K1390" s="4">
        <f>AdminY1*(1+AdminGrowth)^1388</f>
        <v>2.6642255149299774E+39</v>
      </c>
      <c r="L1390" s="4">
        <f t="shared" si="86"/>
        <v>1.1101588608921577E+51</v>
      </c>
      <c r="M1390" s="4">
        <f t="shared" si="87"/>
        <v>2.1286696247935981E+62</v>
      </c>
    </row>
    <row r="1391" spans="1:13" x14ac:dyDescent="0.2">
      <c r="A1391" s="3">
        <f>StartYear+1389</f>
        <v>3414</v>
      </c>
      <c r="B1391" s="4">
        <f>FacultyFTE*HoursPerWeek*WeeksPerYear*RatePerHour*(1+PracticeGrowth)^1389</f>
        <v>7.7862598969169924E+34</v>
      </c>
      <c r="C1391" s="4">
        <f>StudentsY1*(1+StudentGrowth)^1389*CreditsPerStudent*TuitionPerCredit</f>
        <v>4.8664124355731204E+35</v>
      </c>
      <c r="D1391" s="4">
        <f>SimRevY1*(1+SimGrowth)^1389</f>
        <v>1.5610243915234465E+62</v>
      </c>
      <c r="E1391" s="4">
        <f>FacDevRevY1*(1+FacDevGrowth)^1389</f>
        <v>7.8051219576172323E+61</v>
      </c>
      <c r="F1391" s="4">
        <f t="shared" si="84"/>
        <v>2.3415365872851695E+62</v>
      </c>
      <c r="G1391" s="4">
        <f t="shared" si="85"/>
        <v>2.3415365872851695E+62</v>
      </c>
      <c r="H1391" s="4">
        <f>SalaryFTECount*SalaryPerFTE*(1+SalaryGrowth)^1389</f>
        <v>9.5835757678888586E+28</v>
      </c>
      <c r="I1391" s="4">
        <f>SimOpsY1*(1+SimOpsGrowth)^1389</f>
        <v>7.9931437984043524E+50</v>
      </c>
      <c r="J1391" s="4">
        <f>TrainDevY1*(1+TrainDevGrowth)^1389</f>
        <v>3.9965718992021762E+50</v>
      </c>
      <c r="K1391" s="4">
        <f>AdminY1*(1+AdminGrowth)^1389</f>
        <v>2.8240790458257762E+39</v>
      </c>
      <c r="L1391" s="4">
        <f t="shared" si="86"/>
        <v>1.1989715697634771E+51</v>
      </c>
      <c r="M1391" s="4">
        <f t="shared" si="87"/>
        <v>2.3415365872731797E+62</v>
      </c>
    </row>
    <row r="1392" spans="1:13" x14ac:dyDescent="0.2">
      <c r="A1392" s="3">
        <f>StartYear+1390</f>
        <v>3415</v>
      </c>
      <c r="B1392" s="4">
        <f>FacultyFTE*HoursPerWeek*WeeksPerYear*RatePerHour*(1+PracticeGrowth)^1390</f>
        <v>8.175572891762841E+34</v>
      </c>
      <c r="C1392" s="4">
        <f>StudentsY1*(1+StudentGrowth)^1390*CreditsPerStudent*TuitionPerCredit</f>
        <v>5.1097330573517755E+35</v>
      </c>
      <c r="D1392" s="4">
        <f>SimRevY1*(1+SimGrowth)^1390</f>
        <v>1.7171268306757914E+62</v>
      </c>
      <c r="E1392" s="4">
        <f>FacDevRevY1*(1+FacDevGrowth)^1390</f>
        <v>8.5856341533789571E+61</v>
      </c>
      <c r="F1392" s="4">
        <f t="shared" si="84"/>
        <v>2.5756902460136871E+62</v>
      </c>
      <c r="G1392" s="4">
        <f t="shared" si="85"/>
        <v>2.5756902460136871E+62</v>
      </c>
      <c r="H1392" s="4">
        <f>SalaryFTECount*SalaryPerFTE*(1+SalaryGrowth)^1390</f>
        <v>9.9669187986044139E+28</v>
      </c>
      <c r="I1392" s="4">
        <f>SimOpsY1*(1+SimOpsGrowth)^1390</f>
        <v>8.6325953022767009E+50</v>
      </c>
      <c r="J1392" s="4">
        <f>TrainDevY1*(1+TrainDevGrowth)^1390</f>
        <v>4.3162976511383504E+50</v>
      </c>
      <c r="K1392" s="4">
        <f>AdminY1*(1+AdminGrowth)^1390</f>
        <v>2.9935237885753227E+39</v>
      </c>
      <c r="L1392" s="4">
        <f t="shared" si="86"/>
        <v>1.2948892953444986E+51</v>
      </c>
      <c r="M1392" s="4">
        <f t="shared" si="87"/>
        <v>2.5756902460007382E+62</v>
      </c>
    </row>
    <row r="1393" spans="1:13" x14ac:dyDescent="0.2">
      <c r="A1393" s="3">
        <f>StartYear+1391</f>
        <v>3416</v>
      </c>
      <c r="B1393" s="4">
        <f>FacultyFTE*HoursPerWeek*WeeksPerYear*RatePerHour*(1+PracticeGrowth)^1391</f>
        <v>8.5843515363509853E+34</v>
      </c>
      <c r="C1393" s="4">
        <f>StudentsY1*(1+StudentGrowth)^1391*CreditsPerStudent*TuitionPerCredit</f>
        <v>5.3652197102193664E+35</v>
      </c>
      <c r="D1393" s="4">
        <f>SimRevY1*(1+SimGrowth)^1391</f>
        <v>1.8888395137433704E+62</v>
      </c>
      <c r="E1393" s="4">
        <f>FacDevRevY1*(1+FacDevGrowth)^1391</f>
        <v>9.4441975687168522E+61</v>
      </c>
      <c r="F1393" s="4">
        <f t="shared" si="84"/>
        <v>2.8332592706150555E+62</v>
      </c>
      <c r="G1393" s="4">
        <f t="shared" si="85"/>
        <v>2.8332592706150555E+62</v>
      </c>
      <c r="H1393" s="4">
        <f>SalaryFTECount*SalaryPerFTE*(1+SalaryGrowth)^1391</f>
        <v>1.0365595550548589E+29</v>
      </c>
      <c r="I1393" s="4">
        <f>SimOpsY1*(1+SimOpsGrowth)^1391</f>
        <v>9.3232029264588386E+50</v>
      </c>
      <c r="J1393" s="4">
        <f>TrainDevY1*(1+TrainDevGrowth)^1391</f>
        <v>4.6616014632294193E+50</v>
      </c>
      <c r="K1393" s="4">
        <f>AdminY1*(1+AdminGrowth)^1391</f>
        <v>3.1731352158898429E+39</v>
      </c>
      <c r="L1393" s="4">
        <f t="shared" si="86"/>
        <v>1.398480438971999E+51</v>
      </c>
      <c r="M1393" s="4">
        <f t="shared" si="87"/>
        <v>2.8332592706010708E+62</v>
      </c>
    </row>
    <row r="1394" spans="1:13" x14ac:dyDescent="0.2">
      <c r="A1394" s="3">
        <f>StartYear+1392</f>
        <v>3417</v>
      </c>
      <c r="B1394" s="4">
        <f>FacultyFTE*HoursPerWeek*WeeksPerYear*RatePerHour*(1+PracticeGrowth)^1392</f>
        <v>9.0135691131685339E+34</v>
      </c>
      <c r="C1394" s="4">
        <f>StudentsY1*(1+StudentGrowth)^1392*CreditsPerStudent*TuitionPerCredit</f>
        <v>5.6334806957303333E+35</v>
      </c>
      <c r="D1394" s="4">
        <f>SimRevY1*(1+SimGrowth)^1392</f>
        <v>2.0777234651177074E+62</v>
      </c>
      <c r="E1394" s="4">
        <f>FacDevRevY1*(1+FacDevGrowth)^1392</f>
        <v>1.0388617325588537E+62</v>
      </c>
      <c r="F1394" s="4">
        <f t="shared" si="84"/>
        <v>3.1165851976765613E+62</v>
      </c>
      <c r="G1394" s="4">
        <f t="shared" si="85"/>
        <v>3.1165851976765613E+62</v>
      </c>
      <c r="H1394" s="4">
        <f>SalaryFTECount*SalaryPerFTE*(1+SalaryGrowth)^1392</f>
        <v>1.0780219372570535E+29</v>
      </c>
      <c r="I1394" s="4">
        <f>SimOpsY1*(1+SimOpsGrowth)^1392</f>
        <v>1.0069059160575545E+51</v>
      </c>
      <c r="J1394" s="4">
        <f>TrainDevY1*(1+TrainDevGrowth)^1392</f>
        <v>5.0345295802877723E+50</v>
      </c>
      <c r="K1394" s="4">
        <f>AdminY1*(1+AdminGrowth)^1392</f>
        <v>3.3635233288432321E+39</v>
      </c>
      <c r="L1394" s="4">
        <f t="shared" si="86"/>
        <v>1.5103588740896955E+51</v>
      </c>
      <c r="M1394" s="4">
        <f t="shared" si="87"/>
        <v>3.1165851976614576E+62</v>
      </c>
    </row>
    <row r="1395" spans="1:13" x14ac:dyDescent="0.2">
      <c r="A1395" s="3">
        <f>StartYear+1393</f>
        <v>3418</v>
      </c>
      <c r="B1395" s="4">
        <f>FacultyFTE*HoursPerWeek*WeeksPerYear*RatePerHour*(1+PracticeGrowth)^1393</f>
        <v>9.4642475688269603E+34</v>
      </c>
      <c r="C1395" s="4">
        <f>StudentsY1*(1+StudentGrowth)^1393*CreditsPerStudent*TuitionPerCredit</f>
        <v>5.9151547305168503E+35</v>
      </c>
      <c r="D1395" s="4">
        <f>SimRevY1*(1+SimGrowth)^1393</f>
        <v>2.2854958116294786E+62</v>
      </c>
      <c r="E1395" s="4">
        <f>FacDevRevY1*(1+FacDevGrowth)^1393</f>
        <v>1.1427479058147393E+62</v>
      </c>
      <c r="F1395" s="4">
        <f t="shared" si="84"/>
        <v>3.4282437174442177E+62</v>
      </c>
      <c r="G1395" s="4">
        <f t="shared" si="85"/>
        <v>3.4282437174442177E+62</v>
      </c>
      <c r="H1395" s="4">
        <f>SalaryFTECount*SalaryPerFTE*(1+SalaryGrowth)^1393</f>
        <v>1.1211428147473356E+29</v>
      </c>
      <c r="I1395" s="4">
        <f>SimOpsY1*(1+SimOpsGrowth)^1393</f>
        <v>1.0874583893421588E+51</v>
      </c>
      <c r="J1395" s="4">
        <f>TrainDevY1*(1+TrainDevGrowth)^1393</f>
        <v>5.437291946710794E+50</v>
      </c>
      <c r="K1395" s="4">
        <f>AdminY1*(1+AdminGrowth)^1393</f>
        <v>3.5653347285738271E+39</v>
      </c>
      <c r="L1395" s="4">
        <f t="shared" si="86"/>
        <v>1.6311875840168037E+51</v>
      </c>
      <c r="M1395" s="4">
        <f t="shared" si="87"/>
        <v>3.4282437174279059E+62</v>
      </c>
    </row>
    <row r="1396" spans="1:13" x14ac:dyDescent="0.2">
      <c r="A1396" s="3">
        <f>StartYear+1394</f>
        <v>3419</v>
      </c>
      <c r="B1396" s="4">
        <f>FacultyFTE*HoursPerWeek*WeeksPerYear*RatePerHour*(1+PracticeGrowth)^1394</f>
        <v>9.93745994726831E+34</v>
      </c>
      <c r="C1396" s="4">
        <f>StudentsY1*(1+StudentGrowth)^1394*CreditsPerStudent*TuitionPerCredit</f>
        <v>6.210912467042694E+35</v>
      </c>
      <c r="D1396" s="4">
        <f>SimRevY1*(1+SimGrowth)^1394</f>
        <v>2.5140453927924265E+62</v>
      </c>
      <c r="E1396" s="4">
        <f>FacDevRevY1*(1+FacDevGrowth)^1394</f>
        <v>1.2570226963962133E+62</v>
      </c>
      <c r="F1396" s="4">
        <f t="shared" si="84"/>
        <v>3.77106808918864E+62</v>
      </c>
      <c r="G1396" s="4">
        <f t="shared" si="85"/>
        <v>3.77106808918864E+62</v>
      </c>
      <c r="H1396" s="4">
        <f>SalaryFTECount*SalaryPerFTE*(1+SalaryGrowth)^1394</f>
        <v>1.1659885273372293E+29</v>
      </c>
      <c r="I1396" s="4">
        <f>SimOpsY1*(1+SimOpsGrowth)^1394</f>
        <v>1.1744550604895318E+51</v>
      </c>
      <c r="J1396" s="4">
        <f>TrainDevY1*(1+TrainDevGrowth)^1394</f>
        <v>5.8722753024476589E+50</v>
      </c>
      <c r="K1396" s="4">
        <f>AdminY1*(1+AdminGrowth)^1394</f>
        <v>3.7792548122882563E+39</v>
      </c>
      <c r="L1396" s="4">
        <f t="shared" si="86"/>
        <v>1.7616825907380772E+51</v>
      </c>
      <c r="M1396" s="4">
        <f t="shared" si="87"/>
        <v>3.771068089171023E+62</v>
      </c>
    </row>
    <row r="1397" spans="1:13" x14ac:dyDescent="0.2">
      <c r="A1397" s="3">
        <f>StartYear+1395</f>
        <v>3420</v>
      </c>
      <c r="B1397" s="4">
        <f>FacultyFTE*HoursPerWeek*WeeksPerYear*RatePerHour*(1+PracticeGrowth)^1395</f>
        <v>1.0434332944631724E+35</v>
      </c>
      <c r="C1397" s="4">
        <f>StudentsY1*(1+StudentGrowth)^1395*CreditsPerStudent*TuitionPerCredit</f>
        <v>6.5214580903948279E+35</v>
      </c>
      <c r="D1397" s="4">
        <f>SimRevY1*(1+SimGrowth)^1395</f>
        <v>2.7654499320716694E+62</v>
      </c>
      <c r="E1397" s="4">
        <f>FacDevRevY1*(1+FacDevGrowth)^1395</f>
        <v>1.3827249660358347E+62</v>
      </c>
      <c r="F1397" s="4">
        <f t="shared" si="84"/>
        <v>4.1481748981075041E+62</v>
      </c>
      <c r="G1397" s="4">
        <f t="shared" si="85"/>
        <v>4.1481748981075041E+62</v>
      </c>
      <c r="H1397" s="4">
        <f>SalaryFTECount*SalaryPerFTE*(1+SalaryGrowth)^1395</f>
        <v>1.2126280684307184E+29</v>
      </c>
      <c r="I1397" s="4">
        <f>SimOpsY1*(1+SimOpsGrowth)^1395</f>
        <v>1.2684114653286945E+51</v>
      </c>
      <c r="J1397" s="4">
        <f>TrainDevY1*(1+TrainDevGrowth)^1395</f>
        <v>6.3420573266434726E+50</v>
      </c>
      <c r="K1397" s="4">
        <f>AdminY1*(1+AdminGrowth)^1395</f>
        <v>4.0060101010255527E+39</v>
      </c>
      <c r="L1397" s="4">
        <f t="shared" si="86"/>
        <v>1.9026171979970478E+51</v>
      </c>
      <c r="M1397" s="4">
        <f t="shared" si="87"/>
        <v>4.1481748980884781E+62</v>
      </c>
    </row>
    <row r="1398" spans="1:13" x14ac:dyDescent="0.2">
      <c r="A1398" s="3">
        <f>StartYear+1396</f>
        <v>3421</v>
      </c>
      <c r="B1398" s="4">
        <f>FacultyFTE*HoursPerWeek*WeeksPerYear*RatePerHour*(1+PracticeGrowth)^1396</f>
        <v>1.0956049591863311E+35</v>
      </c>
      <c r="C1398" s="4">
        <f>StudentsY1*(1+StudentGrowth)^1396*CreditsPerStudent*TuitionPerCredit</f>
        <v>6.8475309949145704E+35</v>
      </c>
      <c r="D1398" s="4">
        <f>SimRevY1*(1+SimGrowth)^1396</f>
        <v>3.0419949252788363E+62</v>
      </c>
      <c r="E1398" s="4">
        <f>FacDevRevY1*(1+FacDevGrowth)^1396</f>
        <v>1.5209974626394182E+62</v>
      </c>
      <c r="F1398" s="4">
        <f t="shared" si="84"/>
        <v>4.5629923879182545E+62</v>
      </c>
      <c r="G1398" s="4">
        <f t="shared" si="85"/>
        <v>4.5629923879182545E+62</v>
      </c>
      <c r="H1398" s="4">
        <f>SalaryFTECount*SalaryPerFTE*(1+SalaryGrowth)^1396</f>
        <v>1.2611331911679472E+29</v>
      </c>
      <c r="I1398" s="4">
        <f>SimOpsY1*(1+SimOpsGrowth)^1396</f>
        <v>1.3698843825549899E+51</v>
      </c>
      <c r="J1398" s="4">
        <f>TrainDevY1*(1+TrainDevGrowth)^1396</f>
        <v>6.8494219127749493E+50</v>
      </c>
      <c r="K1398" s="4">
        <f>AdminY1*(1+AdminGrowth)^1396</f>
        <v>4.2463707070870853E+39</v>
      </c>
      <c r="L1398" s="4">
        <f t="shared" si="86"/>
        <v>2.054826573836731E+51</v>
      </c>
      <c r="M1398" s="4">
        <f t="shared" si="87"/>
        <v>4.5629923878977058E+62</v>
      </c>
    </row>
    <row r="1399" spans="1:13" x14ac:dyDescent="0.2">
      <c r="A1399" s="3">
        <f>StartYear+1397</f>
        <v>3422</v>
      </c>
      <c r="B1399" s="4">
        <f>FacultyFTE*HoursPerWeek*WeeksPerYear*RatePerHour*(1+PracticeGrowth)^1397</f>
        <v>1.1503852071456474E+35</v>
      </c>
      <c r="C1399" s="4">
        <f>StudentsY1*(1+StudentGrowth)^1397*CreditsPerStudent*TuitionPerCredit</f>
        <v>7.1899075446602968E+35</v>
      </c>
      <c r="D1399" s="4">
        <f>SimRevY1*(1+SimGrowth)^1397</f>
        <v>3.34619441780672E+62</v>
      </c>
      <c r="E1399" s="4">
        <f>FacDevRevY1*(1+FacDevGrowth)^1397</f>
        <v>1.67309720890336E+62</v>
      </c>
      <c r="F1399" s="4">
        <f t="shared" si="84"/>
        <v>5.0192916267100804E+62</v>
      </c>
      <c r="G1399" s="4">
        <f t="shared" si="85"/>
        <v>5.0192916267100804E+62</v>
      </c>
      <c r="H1399" s="4">
        <f>SalaryFTECount*SalaryPerFTE*(1+SalaryGrowth)^1397</f>
        <v>1.3115785188146654E+29</v>
      </c>
      <c r="I1399" s="4">
        <f>SimOpsY1*(1+SimOpsGrowth)^1397</f>
        <v>1.4794751331593891E+51</v>
      </c>
      <c r="J1399" s="4">
        <f>TrainDevY1*(1+TrainDevGrowth)^1397</f>
        <v>7.3973756657969456E+50</v>
      </c>
      <c r="K1399" s="4">
        <f>AdminY1*(1+AdminGrowth)^1397</f>
        <v>4.5011529495123114E+39</v>
      </c>
      <c r="L1399" s="4">
        <f t="shared" si="86"/>
        <v>2.2192126997435849E+51</v>
      </c>
      <c r="M1399" s="4">
        <f t="shared" si="87"/>
        <v>5.0192916266878884E+62</v>
      </c>
    </row>
    <row r="1400" spans="1:13" x14ac:dyDescent="0.2">
      <c r="A1400" s="3">
        <f>StartYear+1398</f>
        <v>3423</v>
      </c>
      <c r="B1400" s="4">
        <f>FacultyFTE*HoursPerWeek*WeeksPerYear*RatePerHour*(1+PracticeGrowth)^1398</f>
        <v>1.2079044675029299E+35</v>
      </c>
      <c r="C1400" s="4">
        <f>StudentsY1*(1+StudentGrowth)^1398*CreditsPerStudent*TuitionPerCredit</f>
        <v>7.5494029218933122E+35</v>
      </c>
      <c r="D1400" s="4">
        <f>SimRevY1*(1+SimGrowth)^1398</f>
        <v>3.6808138595873929E+62</v>
      </c>
      <c r="E1400" s="4">
        <f>FacDevRevY1*(1+FacDevGrowth)^1398</f>
        <v>1.8404069297936964E+62</v>
      </c>
      <c r="F1400" s="4">
        <f t="shared" si="84"/>
        <v>5.5212207893810895E+62</v>
      </c>
      <c r="G1400" s="4">
        <f t="shared" si="85"/>
        <v>5.5212207893810895E+62</v>
      </c>
      <c r="H1400" s="4">
        <f>SalaryFTECount*SalaryPerFTE*(1+SalaryGrowth)^1398</f>
        <v>1.364041659567252E+29</v>
      </c>
      <c r="I1400" s="4">
        <f>SimOpsY1*(1+SimOpsGrowth)^1398</f>
        <v>1.5978331438121404E+51</v>
      </c>
      <c r="J1400" s="4">
        <f>TrainDevY1*(1+TrainDevGrowth)^1398</f>
        <v>7.9891657190607019E+50</v>
      </c>
      <c r="K1400" s="4">
        <f>AdminY1*(1+AdminGrowth)^1398</f>
        <v>4.7712221264830511E+39</v>
      </c>
      <c r="L1400" s="4">
        <f t="shared" si="86"/>
        <v>2.3967497157229818E+51</v>
      </c>
      <c r="M1400" s="4">
        <f t="shared" si="87"/>
        <v>5.5212207893571218E+62</v>
      </c>
    </row>
    <row r="1401" spans="1:13" x14ac:dyDescent="0.2">
      <c r="A1401" s="3">
        <f>StartYear+1399</f>
        <v>3424</v>
      </c>
      <c r="B1401" s="4">
        <f>FacultyFTE*HoursPerWeek*WeeksPerYear*RatePerHour*(1+PracticeGrowth)^1399</f>
        <v>1.2682996908780765E+35</v>
      </c>
      <c r="C1401" s="4">
        <f>StudentsY1*(1+StudentGrowth)^1399*CreditsPerStudent*TuitionPerCredit</f>
        <v>7.9268730679879781E+35</v>
      </c>
      <c r="D1401" s="4">
        <f>SimRevY1*(1+SimGrowth)^1399</f>
        <v>4.0488952455461323E+62</v>
      </c>
      <c r="E1401" s="4">
        <f>FacDevRevY1*(1+FacDevGrowth)^1399</f>
        <v>2.0244476227730661E+62</v>
      </c>
      <c r="F1401" s="4">
        <f t="shared" si="84"/>
        <v>6.0733428683191987E+62</v>
      </c>
      <c r="G1401" s="4">
        <f t="shared" si="85"/>
        <v>6.0733428683191987E+62</v>
      </c>
      <c r="H1401" s="4">
        <f>SalaryFTECount*SalaryPerFTE*(1+SalaryGrowth)^1399</f>
        <v>1.4186033259499418E+29</v>
      </c>
      <c r="I1401" s="4">
        <f>SimOpsY1*(1+SimOpsGrowth)^1399</f>
        <v>1.7256597953171117E+51</v>
      </c>
      <c r="J1401" s="4">
        <f>TrainDevY1*(1+TrainDevGrowth)^1399</f>
        <v>8.6282989765855585E+50</v>
      </c>
      <c r="K1401" s="4">
        <f>AdminY1*(1+AdminGrowth)^1399</f>
        <v>5.0574954540720329E+39</v>
      </c>
      <c r="L1401" s="4">
        <f t="shared" si="86"/>
        <v>2.5884896929807251E+51</v>
      </c>
      <c r="M1401" s="4">
        <f t="shared" si="87"/>
        <v>6.0733428682933136E+62</v>
      </c>
    </row>
    <row r="1402" spans="1:13" x14ac:dyDescent="0.2">
      <c r="A1402" s="3">
        <f>StartYear+1400</f>
        <v>3425</v>
      </c>
      <c r="B1402" s="4">
        <f>FacultyFTE*HoursPerWeek*WeeksPerYear*RatePerHour*(1+PracticeGrowth)^1400</f>
        <v>1.3317146754219803E+35</v>
      </c>
      <c r="C1402" s="4">
        <f>StudentsY1*(1+StudentGrowth)^1400*CreditsPerStudent*TuitionPerCredit</f>
        <v>8.3232167213873759E+35</v>
      </c>
      <c r="D1402" s="4">
        <f>SimRevY1*(1+SimGrowth)^1400</f>
        <v>4.4537847701007445E+62</v>
      </c>
      <c r="E1402" s="4">
        <f>FacDevRevY1*(1+FacDevGrowth)^1400</f>
        <v>2.2268923850503722E+62</v>
      </c>
      <c r="F1402" s="4">
        <f t="shared" si="84"/>
        <v>6.6806771551511167E+62</v>
      </c>
      <c r="G1402" s="4">
        <f t="shared" si="85"/>
        <v>6.6806771551511167E+62</v>
      </c>
      <c r="H1402" s="4">
        <f>SalaryFTECount*SalaryPerFTE*(1+SalaryGrowth)^1400</f>
        <v>1.4753474589879395E+29</v>
      </c>
      <c r="I1402" s="4">
        <f>SimOpsY1*(1+SimOpsGrowth)^1400</f>
        <v>1.8637125789424811E+51</v>
      </c>
      <c r="J1402" s="4">
        <f>TrainDevY1*(1+TrainDevGrowth)^1400</f>
        <v>9.3185628947124054E+50</v>
      </c>
      <c r="K1402" s="4">
        <f>AdminY1*(1+AdminGrowth)^1400</f>
        <v>5.3609451813163549E+39</v>
      </c>
      <c r="L1402" s="4">
        <f t="shared" si="86"/>
        <v>2.7955688684190826E+51</v>
      </c>
      <c r="M1402" s="4">
        <f t="shared" si="87"/>
        <v>6.6806771551231609E+62</v>
      </c>
    </row>
    <row r="1403" spans="1:13" x14ac:dyDescent="0.2">
      <c r="A1403" s="3">
        <f>StartYear+1401</f>
        <v>3426</v>
      </c>
      <c r="B1403" s="4">
        <f>FacultyFTE*HoursPerWeek*WeeksPerYear*RatePerHour*(1+PracticeGrowth)^1401</f>
        <v>1.3983004091930793E+35</v>
      </c>
      <c r="C1403" s="4">
        <f>StudentsY1*(1+StudentGrowth)^1401*CreditsPerStudent*TuitionPerCredit</f>
        <v>8.7393775574567462E+35</v>
      </c>
      <c r="D1403" s="4">
        <f>SimRevY1*(1+SimGrowth)^1401</f>
        <v>4.8991632471108211E+62</v>
      </c>
      <c r="E1403" s="4">
        <f>FacDevRevY1*(1+FacDevGrowth)^1401</f>
        <v>2.4495816235554106E+62</v>
      </c>
      <c r="F1403" s="4">
        <f t="shared" si="84"/>
        <v>7.3487448706662312E+62</v>
      </c>
      <c r="G1403" s="4">
        <f t="shared" si="85"/>
        <v>7.3487448706662312E+62</v>
      </c>
      <c r="H1403" s="4">
        <f>SalaryFTECount*SalaryPerFTE*(1+SalaryGrowth)^1401</f>
        <v>1.5343613573474578E+29</v>
      </c>
      <c r="I1403" s="4">
        <f>SimOpsY1*(1+SimOpsGrowth)^1401</f>
        <v>2.0128095852578794E+51</v>
      </c>
      <c r="J1403" s="4">
        <f>TrainDevY1*(1+TrainDevGrowth)^1401</f>
        <v>1.0064047926289397E+51</v>
      </c>
      <c r="K1403" s="4">
        <f>AdminY1*(1+AdminGrowth)^1401</f>
        <v>5.682601892195337E+39</v>
      </c>
      <c r="L1403" s="4">
        <f t="shared" si="86"/>
        <v>3.0192143778925013E+51</v>
      </c>
      <c r="M1403" s="4">
        <f t="shared" si="87"/>
        <v>7.3487448706360393E+62</v>
      </c>
    </row>
    <row r="1404" spans="1:13" x14ac:dyDescent="0.2">
      <c r="A1404" s="3">
        <f>StartYear+1402</f>
        <v>3427</v>
      </c>
      <c r="B1404" s="4">
        <f>FacultyFTE*HoursPerWeek*WeeksPerYear*RatePerHour*(1+PracticeGrowth)^1402</f>
        <v>1.4682154296527335E+35</v>
      </c>
      <c r="C1404" s="4">
        <f>StudentsY1*(1+StudentGrowth)^1402*CreditsPerStudent*TuitionPerCredit</f>
        <v>9.1763464353295835E+35</v>
      </c>
      <c r="D1404" s="4">
        <f>SimRevY1*(1+SimGrowth)^1402</f>
        <v>5.3890795718219033E+62</v>
      </c>
      <c r="E1404" s="4">
        <f>FacDevRevY1*(1+FacDevGrowth)^1402</f>
        <v>2.6945397859109517E+62</v>
      </c>
      <c r="F1404" s="4">
        <f t="shared" si="84"/>
        <v>8.0836193577328545E+62</v>
      </c>
      <c r="G1404" s="4">
        <f t="shared" si="85"/>
        <v>8.0836193577328545E+62</v>
      </c>
      <c r="H1404" s="4">
        <f>SalaryFTECount*SalaryPerFTE*(1+SalaryGrowth)^1402</f>
        <v>1.5957358116413556E+29</v>
      </c>
      <c r="I1404" s="4">
        <f>SimOpsY1*(1+SimOpsGrowth)^1402</f>
        <v>2.1738343520785096E+51</v>
      </c>
      <c r="J1404" s="4">
        <f>TrainDevY1*(1+TrainDevGrowth)^1402</f>
        <v>1.0869171760392548E+51</v>
      </c>
      <c r="K1404" s="4">
        <f>AdminY1*(1+AdminGrowth)^1402</f>
        <v>6.0235580057270573E+39</v>
      </c>
      <c r="L1404" s="4">
        <f t="shared" si="86"/>
        <v>3.2607515281237878E+51</v>
      </c>
      <c r="M1404" s="4">
        <f t="shared" si="87"/>
        <v>8.0836193577002466E+62</v>
      </c>
    </row>
    <row r="1405" spans="1:13" x14ac:dyDescent="0.2">
      <c r="A1405" s="3">
        <f>StartYear+1403</f>
        <v>3428</v>
      </c>
      <c r="B1405" s="4">
        <f>FacultyFTE*HoursPerWeek*WeeksPerYear*RatePerHour*(1+PracticeGrowth)^1403</f>
        <v>1.5416262011353702E+35</v>
      </c>
      <c r="C1405" s="4">
        <f>StudentsY1*(1+StudentGrowth)^1403*CreditsPerStudent*TuitionPerCredit</f>
        <v>9.6351637570960635E+35</v>
      </c>
      <c r="D1405" s="4">
        <f>SimRevY1*(1+SimGrowth)^1403</f>
        <v>5.9279875290040943E+62</v>
      </c>
      <c r="E1405" s="4">
        <f>FacDevRevY1*(1+FacDevGrowth)^1403</f>
        <v>2.9639937645020471E+62</v>
      </c>
      <c r="F1405" s="4">
        <f t="shared" si="84"/>
        <v>8.8919812935061414E+62</v>
      </c>
      <c r="G1405" s="4">
        <f t="shared" si="85"/>
        <v>8.8919812935061414E+62</v>
      </c>
      <c r="H1405" s="4">
        <f>SalaryFTECount*SalaryPerFTE*(1+SalaryGrowth)^1403</f>
        <v>1.6595652441070098E+29</v>
      </c>
      <c r="I1405" s="4">
        <f>SimOpsY1*(1+SimOpsGrowth)^1403</f>
        <v>2.3477411002447902E+51</v>
      </c>
      <c r="J1405" s="4">
        <f>TrainDevY1*(1+TrainDevGrowth)^1403</f>
        <v>1.1738705501223951E+51</v>
      </c>
      <c r="K1405" s="4">
        <f>AdminY1*(1+AdminGrowth)^1403</f>
        <v>6.3849714860706818E+39</v>
      </c>
      <c r="L1405" s="4">
        <f t="shared" si="86"/>
        <v>3.5216116503735702E+51</v>
      </c>
      <c r="M1405" s="4">
        <f t="shared" si="87"/>
        <v>8.8919812934709247E+62</v>
      </c>
    </row>
    <row r="1406" spans="1:13" x14ac:dyDescent="0.2">
      <c r="A1406" s="3">
        <f>StartYear+1404</f>
        <v>3429</v>
      </c>
      <c r="B1406" s="4">
        <f>FacultyFTE*HoursPerWeek*WeeksPerYear*RatePerHour*(1+PracticeGrowth)^1404</f>
        <v>1.6187075111921386E+35</v>
      </c>
      <c r="C1406" s="4">
        <f>StudentsY1*(1+StudentGrowth)^1404*CreditsPerStudent*TuitionPerCredit</f>
        <v>1.0116921944950865E+36</v>
      </c>
      <c r="D1406" s="4">
        <f>SimRevY1*(1+SimGrowth)^1404</f>
        <v>6.5207862819045015E+62</v>
      </c>
      <c r="E1406" s="4">
        <f>FacDevRevY1*(1+FacDevGrowth)^1404</f>
        <v>3.2603931409522508E+62</v>
      </c>
      <c r="F1406" s="4">
        <f t="shared" si="84"/>
        <v>9.7811794228567514E+62</v>
      </c>
      <c r="G1406" s="4">
        <f t="shared" si="85"/>
        <v>9.7811794228567514E+62</v>
      </c>
      <c r="H1406" s="4">
        <f>SalaryFTECount*SalaryPerFTE*(1+SalaryGrowth)^1404</f>
        <v>1.7259478538712907E+29</v>
      </c>
      <c r="I1406" s="4">
        <f>SimOpsY1*(1+SimOpsGrowth)^1404</f>
        <v>2.5355603882643739E+51</v>
      </c>
      <c r="J1406" s="4">
        <f>TrainDevY1*(1+TrainDevGrowth)^1404</f>
        <v>1.267780194132187E+51</v>
      </c>
      <c r="K1406" s="4">
        <f>AdminY1*(1+AdminGrowth)^1404</f>
        <v>6.7680697752349207E+39</v>
      </c>
      <c r="L1406" s="4">
        <f t="shared" si="86"/>
        <v>3.8033405824033287E+51</v>
      </c>
      <c r="M1406" s="4">
        <f t="shared" si="87"/>
        <v>9.7811794228187176E+62</v>
      </c>
    </row>
    <row r="1407" spans="1:13" x14ac:dyDescent="0.2">
      <c r="A1407" s="3">
        <f>StartYear+1405</f>
        <v>3430</v>
      </c>
      <c r="B1407" s="4">
        <f>FacultyFTE*HoursPerWeek*WeeksPerYear*RatePerHour*(1+PracticeGrowth)^1405</f>
        <v>1.699642886751746E+35</v>
      </c>
      <c r="C1407" s="4">
        <f>StudentsY1*(1+StudentGrowth)^1405*CreditsPerStudent*TuitionPerCredit</f>
        <v>1.0622768042198412E+36</v>
      </c>
      <c r="D1407" s="4">
        <f>SimRevY1*(1+SimGrowth)^1405</f>
        <v>7.1728649100949539E+62</v>
      </c>
      <c r="E1407" s="4">
        <f>FacDevRevY1*(1+FacDevGrowth)^1405</f>
        <v>3.5864324550474769E+62</v>
      </c>
      <c r="F1407" s="4">
        <f t="shared" si="84"/>
        <v>1.0759297365142431E+63</v>
      </c>
      <c r="G1407" s="4">
        <f t="shared" si="85"/>
        <v>1.0759297365142431E+63</v>
      </c>
      <c r="H1407" s="4">
        <f>SalaryFTECount*SalaryPerFTE*(1+SalaryGrowth)^1405</f>
        <v>1.7949857680261423E+29</v>
      </c>
      <c r="I1407" s="4">
        <f>SimOpsY1*(1+SimOpsGrowth)^1405</f>
        <v>2.7384052193255244E+51</v>
      </c>
      <c r="J1407" s="4">
        <f>TrainDevY1*(1+TrainDevGrowth)^1405</f>
        <v>1.3692026096627622E+51</v>
      </c>
      <c r="K1407" s="4">
        <f>AdminY1*(1+AdminGrowth)^1405</f>
        <v>7.1741539617490204E+39</v>
      </c>
      <c r="L1407" s="4">
        <f t="shared" si="86"/>
        <v>4.10760782899546E+51</v>
      </c>
      <c r="M1407" s="4">
        <f t="shared" si="87"/>
        <v>1.0759297365101356E+63</v>
      </c>
    </row>
    <row r="1408" spans="1:13" x14ac:dyDescent="0.2">
      <c r="A1408" s="3">
        <f>StartYear+1406</f>
        <v>3431</v>
      </c>
      <c r="B1408" s="4">
        <f>FacultyFTE*HoursPerWeek*WeeksPerYear*RatePerHour*(1+PracticeGrowth)^1406</f>
        <v>1.7846250310893321E+35</v>
      </c>
      <c r="C1408" s="4">
        <f>StudentsY1*(1+StudentGrowth)^1406*CreditsPerStudent*TuitionPerCredit</f>
        <v>1.1153906444308326E+36</v>
      </c>
      <c r="D1408" s="4">
        <f>SimRevY1*(1+SimGrowth)^1406</f>
        <v>7.8901514011044512E+62</v>
      </c>
      <c r="E1408" s="4">
        <f>FacDevRevY1*(1+FacDevGrowth)^1406</f>
        <v>3.9450757005522256E+62</v>
      </c>
      <c r="F1408" s="4">
        <f t="shared" si="84"/>
        <v>1.1835227101656678E+63</v>
      </c>
      <c r="G1408" s="4">
        <f t="shared" si="85"/>
        <v>1.1835227101656678E+63</v>
      </c>
      <c r="H1408" s="4">
        <f>SalaryFTECount*SalaryPerFTE*(1+SalaryGrowth)^1406</f>
        <v>1.8667851987471876E+29</v>
      </c>
      <c r="I1408" s="4">
        <f>SimOpsY1*(1+SimOpsGrowth)^1406</f>
        <v>2.9574776368715662E+51</v>
      </c>
      <c r="J1408" s="4">
        <f>TrainDevY1*(1+TrainDevGrowth)^1406</f>
        <v>1.4787388184357831E+51</v>
      </c>
      <c r="K1408" s="4">
        <f>AdminY1*(1+AdminGrowth)^1406</f>
        <v>7.6046031994539591E+39</v>
      </c>
      <c r="L1408" s="4">
        <f t="shared" si="86"/>
        <v>4.4362164553149536E+51</v>
      </c>
      <c r="M1408" s="4">
        <f t="shared" si="87"/>
        <v>1.1835227101612316E+63</v>
      </c>
    </row>
    <row r="1409" spans="1:13" x14ac:dyDescent="0.2">
      <c r="A1409" s="3">
        <f>StartYear+1407</f>
        <v>3432</v>
      </c>
      <c r="B1409" s="4">
        <f>FacultyFTE*HoursPerWeek*WeeksPerYear*RatePerHour*(1+PracticeGrowth)^1407</f>
        <v>1.8738562826437995E+35</v>
      </c>
      <c r="C1409" s="4">
        <f>StudentsY1*(1+StudentGrowth)^1407*CreditsPerStudent*TuitionPerCredit</f>
        <v>1.1711601766523747E+36</v>
      </c>
      <c r="D1409" s="4">
        <f>SimRevY1*(1+SimGrowth)^1407</f>
        <v>8.6791665412148954E+62</v>
      </c>
      <c r="E1409" s="4">
        <f>FacDevRevY1*(1+FacDevGrowth)^1407</f>
        <v>4.3395832706074477E+62</v>
      </c>
      <c r="F1409" s="4">
        <f t="shared" si="84"/>
        <v>1.3018749811822344E+63</v>
      </c>
      <c r="G1409" s="4">
        <f t="shared" si="85"/>
        <v>1.3018749811822344E+63</v>
      </c>
      <c r="H1409" s="4">
        <f>SalaryFTECount*SalaryPerFTE*(1+SalaryGrowth)^1407</f>
        <v>1.941456606697075E+29</v>
      </c>
      <c r="I1409" s="4">
        <f>SimOpsY1*(1+SimOpsGrowth)^1407</f>
        <v>3.1940758478212922E+51</v>
      </c>
      <c r="J1409" s="4">
        <f>TrainDevY1*(1+TrainDevGrowth)^1407</f>
        <v>1.5970379239106461E+51</v>
      </c>
      <c r="K1409" s="4">
        <f>AdminY1*(1+AdminGrowth)^1407</f>
        <v>8.0608793914211986E+39</v>
      </c>
      <c r="L1409" s="4">
        <f t="shared" si="86"/>
        <v>4.7911137717399995E+51</v>
      </c>
      <c r="M1409" s="4">
        <f t="shared" si="87"/>
        <v>1.3018749811774432E+63</v>
      </c>
    </row>
    <row r="1410" spans="1:13" x14ac:dyDescent="0.2">
      <c r="A1410" s="3">
        <f>StartYear+1408</f>
        <v>3433</v>
      </c>
      <c r="B1410" s="4">
        <f>FacultyFTE*HoursPerWeek*WeeksPerYear*RatePerHour*(1+PracticeGrowth)^1408</f>
        <v>1.9675490967759897E+35</v>
      </c>
      <c r="C1410" s="4">
        <f>StudentsY1*(1+StudentGrowth)^1408*CreditsPerStudent*TuitionPerCredit</f>
        <v>1.2297181854849936E+36</v>
      </c>
      <c r="D1410" s="4">
        <f>SimRevY1*(1+SimGrowth)^1408</f>
        <v>9.5470831953363833E+62</v>
      </c>
      <c r="E1410" s="4">
        <f>FacDevRevY1*(1+FacDevGrowth)^1408</f>
        <v>4.7735415976681916E+62</v>
      </c>
      <c r="F1410" s="4">
        <f t="shared" ref="F1410:F1473" si="88">C1410+D1410+E1410</f>
        <v>1.4320624793004576E+63</v>
      </c>
      <c r="G1410" s="4">
        <f t="shared" ref="G1410:G1473" si="89">B1410+F1410</f>
        <v>1.4320624793004576E+63</v>
      </c>
      <c r="H1410" s="4">
        <f>SalaryFTECount*SalaryPerFTE*(1+SalaryGrowth)^1408</f>
        <v>2.0191148709649588E+29</v>
      </c>
      <c r="I1410" s="4">
        <f>SimOpsY1*(1+SimOpsGrowth)^1408</f>
        <v>3.4496019156469962E+51</v>
      </c>
      <c r="J1410" s="4">
        <f>TrainDevY1*(1+TrainDevGrowth)^1408</f>
        <v>1.7248009578234981E+51</v>
      </c>
      <c r="K1410" s="4">
        <f>AdminY1*(1+AdminGrowth)^1408</f>
        <v>8.5445321549064695E+39</v>
      </c>
      <c r="L1410" s="4">
        <f t="shared" ref="L1410:L1473" si="90">SUM(H1410:K1410)</f>
        <v>5.1744028734790389E+51</v>
      </c>
      <c r="M1410" s="4">
        <f t="shared" ref="M1410:M1473" si="91">G1410-L1410</f>
        <v>1.4320624792952831E+63</v>
      </c>
    </row>
    <row r="1411" spans="1:13" x14ac:dyDescent="0.2">
      <c r="A1411" s="3">
        <f>StartYear+1409</f>
        <v>3434</v>
      </c>
      <c r="B1411" s="4">
        <f>FacultyFTE*HoursPerWeek*WeeksPerYear*RatePerHour*(1+PracticeGrowth)^1409</f>
        <v>2.065926551614789E+35</v>
      </c>
      <c r="C1411" s="4">
        <f>StudentsY1*(1+StudentGrowth)^1409*CreditsPerStudent*TuitionPerCredit</f>
        <v>1.291204094759243E+36</v>
      </c>
      <c r="D1411" s="4">
        <f>SimRevY1*(1+SimGrowth)^1409</f>
        <v>1.0501791514870025E+63</v>
      </c>
      <c r="E1411" s="4">
        <f>FacDevRevY1*(1+FacDevGrowth)^1409</f>
        <v>5.2508957574350127E+62</v>
      </c>
      <c r="F1411" s="4">
        <f t="shared" si="88"/>
        <v>1.5752687272305038E+63</v>
      </c>
      <c r="G1411" s="4">
        <f t="shared" si="89"/>
        <v>1.5752687272305038E+63</v>
      </c>
      <c r="H1411" s="4">
        <f>SalaryFTECount*SalaryPerFTE*(1+SalaryGrowth)^1409</f>
        <v>2.0998794658035572E+29</v>
      </c>
      <c r="I1411" s="4">
        <f>SimOpsY1*(1+SimOpsGrowth)^1409</f>
        <v>3.7255700688987555E+51</v>
      </c>
      <c r="J1411" s="4">
        <f>TrainDevY1*(1+TrainDevGrowth)^1409</f>
        <v>1.8627850344493777E+51</v>
      </c>
      <c r="K1411" s="4">
        <f>AdminY1*(1+AdminGrowth)^1409</f>
        <v>9.0572040842008583E+39</v>
      </c>
      <c r="L1411" s="4">
        <f t="shared" si="90"/>
        <v>5.5883551033571906E+51</v>
      </c>
      <c r="M1411" s="4">
        <f t="shared" si="91"/>
        <v>1.5752687272249154E+63</v>
      </c>
    </row>
    <row r="1412" spans="1:13" x14ac:dyDescent="0.2">
      <c r="A1412" s="3">
        <f>StartYear+1410</f>
        <v>3435</v>
      </c>
      <c r="B1412" s="4">
        <f>FacultyFTE*HoursPerWeek*WeeksPerYear*RatePerHour*(1+PracticeGrowth)^1410</f>
        <v>2.1692228791955284E+35</v>
      </c>
      <c r="C1412" s="4">
        <f>StudentsY1*(1+StudentGrowth)^1410*CreditsPerStudent*TuitionPerCredit</f>
        <v>1.3557642994972053E+36</v>
      </c>
      <c r="D1412" s="4">
        <f>SimRevY1*(1+SimGrowth)^1410</f>
        <v>1.1551970666357029E+63</v>
      </c>
      <c r="E1412" s="4">
        <f>FacDevRevY1*(1+FacDevGrowth)^1410</f>
        <v>5.7759853331785144E+62</v>
      </c>
      <c r="F1412" s="4">
        <f t="shared" si="88"/>
        <v>1.7327955999535542E+63</v>
      </c>
      <c r="G1412" s="4">
        <f t="shared" si="89"/>
        <v>1.7327955999535542E+63</v>
      </c>
      <c r="H1412" s="4">
        <f>SalaryFTECount*SalaryPerFTE*(1+SalaryGrowth)^1410</f>
        <v>2.1838746444356995E+29</v>
      </c>
      <c r="I1412" s="4">
        <f>SimOpsY1*(1+SimOpsGrowth)^1410</f>
        <v>4.0236156744106558E+51</v>
      </c>
      <c r="J1412" s="4">
        <f>TrainDevY1*(1+TrainDevGrowth)^1410</f>
        <v>2.0118078372053279E+51</v>
      </c>
      <c r="K1412" s="4">
        <f>AdminY1*(1+AdminGrowth)^1410</f>
        <v>9.6006363292529098E+39</v>
      </c>
      <c r="L1412" s="4">
        <f t="shared" si="90"/>
        <v>6.0354235116255847E+51</v>
      </c>
      <c r="M1412" s="4">
        <f t="shared" si="91"/>
        <v>1.7327955999475189E+63</v>
      </c>
    </row>
    <row r="1413" spans="1:13" x14ac:dyDescent="0.2">
      <c r="A1413" s="3">
        <f>StartYear+1411</f>
        <v>3436</v>
      </c>
      <c r="B1413" s="4">
        <f>FacultyFTE*HoursPerWeek*WeeksPerYear*RatePerHour*(1+PracticeGrowth)^1411</f>
        <v>2.2776840231553049E+35</v>
      </c>
      <c r="C1413" s="4">
        <f>StudentsY1*(1+StudentGrowth)^1411*CreditsPerStudent*TuitionPerCredit</f>
        <v>1.4235525144720656E+36</v>
      </c>
      <c r="D1413" s="4">
        <f>SimRevY1*(1+SimGrowth)^1411</f>
        <v>1.2707167732992731E+63</v>
      </c>
      <c r="E1413" s="4">
        <f>FacDevRevY1*(1+FacDevGrowth)^1411</f>
        <v>6.3535838664963655E+62</v>
      </c>
      <c r="F1413" s="4">
        <f t="shared" si="88"/>
        <v>1.9060751599489097E+63</v>
      </c>
      <c r="G1413" s="4">
        <f t="shared" si="89"/>
        <v>1.9060751599489097E+63</v>
      </c>
      <c r="H1413" s="4">
        <f>SalaryFTECount*SalaryPerFTE*(1+SalaryGrowth)^1411</f>
        <v>2.2712296302131278E+29</v>
      </c>
      <c r="I1413" s="4">
        <f>SimOpsY1*(1+SimOpsGrowth)^1411</f>
        <v>4.3455049283635091E+51</v>
      </c>
      <c r="J1413" s="4">
        <f>TrainDevY1*(1+TrainDevGrowth)^1411</f>
        <v>2.1727524641817545E+51</v>
      </c>
      <c r="K1413" s="4">
        <f>AdminY1*(1+AdminGrowth)^1411</f>
        <v>1.0176674509008088E+40</v>
      </c>
      <c r="L1413" s="4">
        <f t="shared" si="90"/>
        <v>6.5182573925554408E+51</v>
      </c>
      <c r="M1413" s="4">
        <f t="shared" si="91"/>
        <v>1.9060751599423914E+63</v>
      </c>
    </row>
    <row r="1414" spans="1:13" x14ac:dyDescent="0.2">
      <c r="A1414" s="3">
        <f>StartYear+1412</f>
        <v>3437</v>
      </c>
      <c r="B1414" s="4">
        <f>FacultyFTE*HoursPerWeek*WeeksPerYear*RatePerHour*(1+PracticeGrowth)^1412</f>
        <v>2.3915682243130701E+35</v>
      </c>
      <c r="C1414" s="4">
        <f>StudentsY1*(1+StudentGrowth)^1412*CreditsPerStudent*TuitionPerCredit</f>
        <v>1.4947301401956689E+36</v>
      </c>
      <c r="D1414" s="4">
        <f>SimRevY1*(1+SimGrowth)^1412</f>
        <v>1.3977884506292005E+63</v>
      </c>
      <c r="E1414" s="4">
        <f>FacDevRevY1*(1+FacDevGrowth)^1412</f>
        <v>6.9889422531460023E+62</v>
      </c>
      <c r="F1414" s="4">
        <f t="shared" si="88"/>
        <v>2.0966826759438008E+63</v>
      </c>
      <c r="G1414" s="4">
        <f t="shared" si="89"/>
        <v>2.0966826759438008E+63</v>
      </c>
      <c r="H1414" s="4">
        <f>SalaryFTECount*SalaryPerFTE*(1+SalaryGrowth)^1412</f>
        <v>2.3620788154216529E+29</v>
      </c>
      <c r="I1414" s="4">
        <f>SimOpsY1*(1+SimOpsGrowth)^1412</f>
        <v>4.6931453226325901E+51</v>
      </c>
      <c r="J1414" s="4">
        <f>TrainDevY1*(1+TrainDevGrowth)^1412</f>
        <v>2.3465726613162951E+51</v>
      </c>
      <c r="K1414" s="4">
        <f>AdminY1*(1+AdminGrowth)^1412</f>
        <v>1.078727497954857E+40</v>
      </c>
      <c r="L1414" s="4">
        <f t="shared" si="90"/>
        <v>7.0397179839596725E+51</v>
      </c>
      <c r="M1414" s="4">
        <f t="shared" si="91"/>
        <v>2.0966826759367611E+63</v>
      </c>
    </row>
    <row r="1415" spans="1:13" x14ac:dyDescent="0.2">
      <c r="A1415" s="3">
        <f>StartYear+1413</f>
        <v>3438</v>
      </c>
      <c r="B1415" s="4">
        <f>FacultyFTE*HoursPerWeek*WeeksPerYear*RatePerHour*(1+PracticeGrowth)^1413</f>
        <v>2.5111466355287242E+35</v>
      </c>
      <c r="C1415" s="4">
        <f>StudentsY1*(1+StudentGrowth)^1413*CreditsPerStudent*TuitionPerCredit</f>
        <v>1.5694666472054526E+36</v>
      </c>
      <c r="D1415" s="4">
        <f>SimRevY1*(1+SimGrowth)^1413</f>
        <v>1.5375672956921208E+63</v>
      </c>
      <c r="E1415" s="4">
        <f>FacDevRevY1*(1+FacDevGrowth)^1413</f>
        <v>7.6878364784606039E+62</v>
      </c>
      <c r="F1415" s="4">
        <f t="shared" si="88"/>
        <v>2.3063509435381811E+63</v>
      </c>
      <c r="G1415" s="4">
        <f t="shared" si="89"/>
        <v>2.3063509435381811E+63</v>
      </c>
      <c r="H1415" s="4">
        <f>SalaryFTECount*SalaryPerFTE*(1+SalaryGrowth)^1413</f>
        <v>2.4565619680385192E+29</v>
      </c>
      <c r="I1415" s="4">
        <f>SimOpsY1*(1+SimOpsGrowth)^1413</f>
        <v>5.0685969484431976E+51</v>
      </c>
      <c r="J1415" s="4">
        <f>TrainDevY1*(1+TrainDevGrowth)^1413</f>
        <v>2.5342984742215988E+51</v>
      </c>
      <c r="K1415" s="4">
        <f>AdminY1*(1+AdminGrowth)^1413</f>
        <v>1.1434511478321485E+40</v>
      </c>
      <c r="L1415" s="4">
        <f t="shared" si="90"/>
        <v>7.6028954226762311E+51</v>
      </c>
      <c r="M1415" s="4">
        <f t="shared" si="91"/>
        <v>2.3063509435305784E+63</v>
      </c>
    </row>
    <row r="1416" spans="1:13" x14ac:dyDescent="0.2">
      <c r="A1416" s="3">
        <f>StartYear+1414</f>
        <v>3439</v>
      </c>
      <c r="B1416" s="4">
        <f>FacultyFTE*HoursPerWeek*WeeksPerYear*RatePerHour*(1+PracticeGrowth)^1414</f>
        <v>2.6367039673051595E+35</v>
      </c>
      <c r="C1416" s="4">
        <f>StudentsY1*(1+StudentGrowth)^1414*CreditsPerStudent*TuitionPerCredit</f>
        <v>1.647939979565725E+36</v>
      </c>
      <c r="D1416" s="4">
        <f>SimRevY1*(1+SimGrowth)^1414</f>
        <v>1.6913240252613327E+63</v>
      </c>
      <c r="E1416" s="4">
        <f>FacDevRevY1*(1+FacDevGrowth)^1414</f>
        <v>8.4566201263066635E+62</v>
      </c>
      <c r="F1416" s="4">
        <f t="shared" si="88"/>
        <v>2.5369860378919992E+63</v>
      </c>
      <c r="G1416" s="4">
        <f t="shared" si="89"/>
        <v>2.5369860378919992E+63</v>
      </c>
      <c r="H1416" s="4">
        <f>SalaryFTECount*SalaryPerFTE*(1+SalaryGrowth)^1414</f>
        <v>2.5548244467600601E+29</v>
      </c>
      <c r="I1416" s="4">
        <f>SimOpsY1*(1+SimOpsGrowth)^1414</f>
        <v>5.4740847043186537E+51</v>
      </c>
      <c r="J1416" s="4">
        <f>TrainDevY1*(1+TrainDevGrowth)^1414</f>
        <v>2.7370423521593269E+51</v>
      </c>
      <c r="K1416" s="4">
        <f>AdminY1*(1+AdminGrowth)^1414</f>
        <v>1.2120582167020775E+40</v>
      </c>
      <c r="L1416" s="4">
        <f t="shared" si="90"/>
        <v>8.2111270564901022E+51</v>
      </c>
      <c r="M1416" s="4">
        <f t="shared" si="91"/>
        <v>2.5369860378837882E+63</v>
      </c>
    </row>
    <row r="1417" spans="1:13" x14ac:dyDescent="0.2">
      <c r="A1417" s="3">
        <f>StartYear+1415</f>
        <v>3440</v>
      </c>
      <c r="B1417" s="4">
        <f>FacultyFTE*HoursPerWeek*WeeksPerYear*RatePerHour*(1+PracticeGrowth)^1415</f>
        <v>2.7685391656704181E+35</v>
      </c>
      <c r="C1417" s="4">
        <f>StudentsY1*(1+StudentGrowth)^1415*CreditsPerStudent*TuitionPerCredit</f>
        <v>1.7303369785440111E+36</v>
      </c>
      <c r="D1417" s="4">
        <f>SimRevY1*(1+SimGrowth)^1415</f>
        <v>1.8604564277874667E+63</v>
      </c>
      <c r="E1417" s="4">
        <f>FacDevRevY1*(1+FacDevGrowth)^1415</f>
        <v>9.3022821389373333E+62</v>
      </c>
      <c r="F1417" s="4">
        <f t="shared" si="88"/>
        <v>2.7906846416811998E+63</v>
      </c>
      <c r="G1417" s="4">
        <f t="shared" si="89"/>
        <v>2.7906846416811998E+63</v>
      </c>
      <c r="H1417" s="4">
        <f>SalaryFTECount*SalaryPerFTE*(1+SalaryGrowth)^1415</f>
        <v>2.657017424630462E+29</v>
      </c>
      <c r="I1417" s="4">
        <f>SimOpsY1*(1+SimOpsGrowth)^1415</f>
        <v>5.9120114806641466E+51</v>
      </c>
      <c r="J1417" s="4">
        <f>TrainDevY1*(1+TrainDevGrowth)^1415</f>
        <v>2.9560057403320733E+51</v>
      </c>
      <c r="K1417" s="4">
        <f>AdminY1*(1+AdminGrowth)^1415</f>
        <v>1.2847817097042023E+40</v>
      </c>
      <c r="L1417" s="4">
        <f t="shared" si="90"/>
        <v>8.8680172210090678E+51</v>
      </c>
      <c r="M1417" s="4">
        <f t="shared" si="91"/>
        <v>2.7906846416723318E+63</v>
      </c>
    </row>
    <row r="1418" spans="1:13" x14ac:dyDescent="0.2">
      <c r="A1418" s="3">
        <f>StartYear+1416</f>
        <v>3441</v>
      </c>
      <c r="B1418" s="4">
        <f>FacultyFTE*HoursPerWeek*WeeksPerYear*RatePerHour*(1+PracticeGrowth)^1416</f>
        <v>2.906966123953939E+35</v>
      </c>
      <c r="C1418" s="4">
        <f>StudentsY1*(1+StudentGrowth)^1416*CreditsPerStudent*TuitionPerCredit</f>
        <v>1.8168538274712119E+36</v>
      </c>
      <c r="D1418" s="4">
        <f>SimRevY1*(1+SimGrowth)^1416</f>
        <v>2.0465020705662134E+63</v>
      </c>
      <c r="E1418" s="4">
        <f>FacDevRevY1*(1+FacDevGrowth)^1416</f>
        <v>1.0232510352831067E+63</v>
      </c>
      <c r="F1418" s="4">
        <f t="shared" si="88"/>
        <v>3.0697531058493199E+63</v>
      </c>
      <c r="G1418" s="4">
        <f t="shared" si="89"/>
        <v>3.0697531058493199E+63</v>
      </c>
      <c r="H1418" s="4">
        <f>SalaryFTECount*SalaryPerFTE*(1+SalaryGrowth)^1416</f>
        <v>2.763298121615681E+29</v>
      </c>
      <c r="I1418" s="4">
        <f>SimOpsY1*(1+SimOpsGrowth)^1416</f>
        <v>6.3849723991172773E+51</v>
      </c>
      <c r="J1418" s="4">
        <f>TrainDevY1*(1+TrainDevGrowth)^1416</f>
        <v>3.1924861995586387E+51</v>
      </c>
      <c r="K1418" s="4">
        <f>AdminY1*(1+AdminGrowth)^1416</f>
        <v>1.3618686122864543E+40</v>
      </c>
      <c r="L1418" s="4">
        <f t="shared" si="90"/>
        <v>9.5774585986895352E+51</v>
      </c>
      <c r="M1418" s="4">
        <f t="shared" si="91"/>
        <v>3.0697531058397423E+63</v>
      </c>
    </row>
    <row r="1419" spans="1:13" x14ac:dyDescent="0.2">
      <c r="A1419" s="3">
        <f>StartYear+1417</f>
        <v>3442</v>
      </c>
      <c r="B1419" s="4">
        <f>FacultyFTE*HoursPerWeek*WeeksPerYear*RatePerHour*(1+PracticeGrowth)^1417</f>
        <v>3.0523144301516358E+35</v>
      </c>
      <c r="C1419" s="4">
        <f>StudentsY1*(1+StudentGrowth)^1417*CreditsPerStudent*TuitionPerCredit</f>
        <v>1.9076965188447724E+36</v>
      </c>
      <c r="D1419" s="4">
        <f>SimRevY1*(1+SimGrowth)^1417</f>
        <v>2.2511522776228346E+63</v>
      </c>
      <c r="E1419" s="4">
        <f>FacDevRevY1*(1+FacDevGrowth)^1417</f>
        <v>1.1255761388114173E+63</v>
      </c>
      <c r="F1419" s="4">
        <f t="shared" si="88"/>
        <v>3.3767284164342521E+63</v>
      </c>
      <c r="G1419" s="4">
        <f t="shared" si="89"/>
        <v>3.3767284164342521E+63</v>
      </c>
      <c r="H1419" s="4">
        <f>SalaryFTECount*SalaryPerFTE*(1+SalaryGrowth)^1417</f>
        <v>2.8738300464803085E+29</v>
      </c>
      <c r="I1419" s="4">
        <f>SimOpsY1*(1+SimOpsGrowth)^1417</f>
        <v>6.8957701910466612E+51</v>
      </c>
      <c r="J1419" s="4">
        <f>TrainDevY1*(1+TrainDevGrowth)^1417</f>
        <v>3.4478850955233306E+51</v>
      </c>
      <c r="K1419" s="4">
        <f>AdminY1*(1+AdminGrowth)^1417</f>
        <v>1.4435807290236417E+40</v>
      </c>
      <c r="L1419" s="4">
        <f t="shared" si="90"/>
        <v>1.0343655286584428E+52</v>
      </c>
      <c r="M1419" s="4">
        <f t="shared" si="91"/>
        <v>3.3767284164239083E+63</v>
      </c>
    </row>
    <row r="1420" spans="1:13" x14ac:dyDescent="0.2">
      <c r="A1420" s="3">
        <f>StartYear+1418</f>
        <v>3443</v>
      </c>
      <c r="B1420" s="4">
        <f>FacultyFTE*HoursPerWeek*WeeksPerYear*RatePerHour*(1+PracticeGrowth)^1418</f>
        <v>3.2049301516592182E+35</v>
      </c>
      <c r="C1420" s="4">
        <f>StudentsY1*(1+StudentGrowth)^1418*CreditsPerStudent*TuitionPerCredit</f>
        <v>2.0030813447870113E+36</v>
      </c>
      <c r="D1420" s="4">
        <f>SimRevY1*(1+SimGrowth)^1418</f>
        <v>2.4762675053851182E+63</v>
      </c>
      <c r="E1420" s="4">
        <f>FacDevRevY1*(1+FacDevGrowth)^1418</f>
        <v>1.2381337526925591E+63</v>
      </c>
      <c r="F1420" s="4">
        <f t="shared" si="88"/>
        <v>3.7144012580776774E+63</v>
      </c>
      <c r="G1420" s="4">
        <f t="shared" si="89"/>
        <v>3.7144012580776774E+63</v>
      </c>
      <c r="H1420" s="4">
        <f>SalaryFTECount*SalaryPerFTE*(1+SalaryGrowth)^1418</f>
        <v>2.9887832483395215E+29</v>
      </c>
      <c r="I1420" s="4">
        <f>SimOpsY1*(1+SimOpsGrowth)^1418</f>
        <v>7.4474318063303945E+51</v>
      </c>
      <c r="J1420" s="4">
        <f>TrainDevY1*(1+TrainDevGrowth)^1418</f>
        <v>3.7237159031651973E+51</v>
      </c>
      <c r="K1420" s="4">
        <f>AdminY1*(1+AdminGrowth)^1418</f>
        <v>1.5301955727650603E+40</v>
      </c>
      <c r="L1420" s="4">
        <f t="shared" si="90"/>
        <v>1.1171147709510894E+52</v>
      </c>
      <c r="M1420" s="4">
        <f t="shared" si="91"/>
        <v>3.7144012580665064E+63</v>
      </c>
    </row>
    <row r="1421" spans="1:13" x14ac:dyDescent="0.2">
      <c r="A1421" s="3">
        <f>StartYear+1419</f>
        <v>3444</v>
      </c>
      <c r="B1421" s="4">
        <f>FacultyFTE*HoursPerWeek*WeeksPerYear*RatePerHour*(1+PracticeGrowth)^1419</f>
        <v>3.3651766592421789E+35</v>
      </c>
      <c r="C1421" s="4">
        <f>StudentsY1*(1+StudentGrowth)^1419*CreditsPerStudent*TuitionPerCredit</f>
        <v>2.1032354120263616E+36</v>
      </c>
      <c r="D1421" s="4">
        <f>SimRevY1*(1+SimGrowth)^1419</f>
        <v>2.7238942559236302E+63</v>
      </c>
      <c r="E1421" s="4">
        <f>FacDevRevY1*(1+FacDevGrowth)^1419</f>
        <v>1.3619471279618151E+63</v>
      </c>
      <c r="F1421" s="4">
        <f t="shared" si="88"/>
        <v>4.0858413838854452E+63</v>
      </c>
      <c r="G1421" s="4">
        <f t="shared" si="89"/>
        <v>4.0858413838854452E+63</v>
      </c>
      <c r="H1421" s="4">
        <f>SalaryFTECount*SalaryPerFTE*(1+SalaryGrowth)^1419</f>
        <v>3.1083345782731014E+29</v>
      </c>
      <c r="I1421" s="4">
        <f>SimOpsY1*(1+SimOpsGrowth)^1419</f>
        <v>8.0432263508368249E+51</v>
      </c>
      <c r="J1421" s="4">
        <f>TrainDevY1*(1+TrainDevGrowth)^1419</f>
        <v>4.0216131754184125E+51</v>
      </c>
      <c r="K1421" s="4">
        <f>AdminY1*(1+AdminGrowth)^1419</f>
        <v>1.6220073071309641E+40</v>
      </c>
      <c r="L1421" s="4">
        <f t="shared" si="90"/>
        <v>1.2064839526271457E+52</v>
      </c>
      <c r="M1421" s="4">
        <f t="shared" si="91"/>
        <v>4.0858413838733805E+63</v>
      </c>
    </row>
    <row r="1422" spans="1:13" x14ac:dyDescent="0.2">
      <c r="A1422" s="3">
        <f>StartYear+1420</f>
        <v>3445</v>
      </c>
      <c r="B1422" s="4">
        <f>FacultyFTE*HoursPerWeek*WeeksPerYear*RatePerHour*(1+PracticeGrowth)^1420</f>
        <v>3.5334354922042873E+35</v>
      </c>
      <c r="C1422" s="4">
        <f>StudentsY1*(1+StudentGrowth)^1420*CreditsPerStudent*TuitionPerCredit</f>
        <v>2.2083971826276795E+36</v>
      </c>
      <c r="D1422" s="4">
        <f>SimRevY1*(1+SimGrowth)^1420</f>
        <v>2.9962836815159936E+63</v>
      </c>
      <c r="E1422" s="4">
        <f>FacDevRevY1*(1+FacDevGrowth)^1420</f>
        <v>1.4981418407579968E+63</v>
      </c>
      <c r="F1422" s="4">
        <f t="shared" si="88"/>
        <v>4.4944255222739906E+63</v>
      </c>
      <c r="G1422" s="4">
        <f t="shared" si="89"/>
        <v>4.4944255222739906E+63</v>
      </c>
      <c r="H1422" s="4">
        <f>SalaryFTECount*SalaryPerFTE*(1+SalaryGrowth)^1420</f>
        <v>3.2326679614040266E+29</v>
      </c>
      <c r="I1422" s="4">
        <f>SimOpsY1*(1+SimOpsGrowth)^1420</f>
        <v>8.6866844589037711E+51</v>
      </c>
      <c r="J1422" s="4">
        <f>TrainDevY1*(1+TrainDevGrowth)^1420</f>
        <v>4.3433422294518855E+51</v>
      </c>
      <c r="K1422" s="4">
        <f>AdminY1*(1+AdminGrowth)^1420</f>
        <v>1.7193277455588219E+40</v>
      </c>
      <c r="L1422" s="4">
        <f t="shared" si="90"/>
        <v>1.3030026688372848E+52</v>
      </c>
      <c r="M1422" s="4">
        <f t="shared" si="91"/>
        <v>4.4944255222609606E+63</v>
      </c>
    </row>
    <row r="1423" spans="1:13" x14ac:dyDescent="0.2">
      <c r="A1423" s="3">
        <f>StartYear+1421</f>
        <v>3446</v>
      </c>
      <c r="B1423" s="4">
        <f>FacultyFTE*HoursPerWeek*WeeksPerYear*RatePerHour*(1+PracticeGrowth)^1421</f>
        <v>3.7101072668145026E+35</v>
      </c>
      <c r="C1423" s="4">
        <f>StudentsY1*(1+StudentGrowth)^1421*CreditsPerStudent*TuitionPerCredit</f>
        <v>2.318817041759064E+36</v>
      </c>
      <c r="D1423" s="4">
        <f>SimRevY1*(1+SimGrowth)^1421</f>
        <v>3.2959120496675927E+63</v>
      </c>
      <c r="E1423" s="4">
        <f>FacDevRevY1*(1+FacDevGrowth)^1421</f>
        <v>1.6479560248337963E+63</v>
      </c>
      <c r="F1423" s="4">
        <f t="shared" si="88"/>
        <v>4.9438680745013887E+63</v>
      </c>
      <c r="G1423" s="4">
        <f t="shared" si="89"/>
        <v>4.9438680745013887E+63</v>
      </c>
      <c r="H1423" s="4">
        <f>SalaryFTECount*SalaryPerFTE*(1+SalaryGrowth)^1421</f>
        <v>3.3619746798601873E+29</v>
      </c>
      <c r="I1423" s="4">
        <f>SimOpsY1*(1+SimOpsGrowth)^1421</f>
        <v>9.3816192156160732E+51</v>
      </c>
      <c r="J1423" s="4">
        <f>TrainDevY1*(1+TrainDevGrowth)^1421</f>
        <v>4.6908096078080366E+51</v>
      </c>
      <c r="K1423" s="4">
        <f>AdminY1*(1+AdminGrowth)^1421</f>
        <v>1.8224874102923515E+40</v>
      </c>
      <c r="L1423" s="4">
        <f t="shared" si="90"/>
        <v>1.4072428823442334E+52</v>
      </c>
      <c r="M1423" s="4">
        <f t="shared" si="91"/>
        <v>4.9438680744873166E+63</v>
      </c>
    </row>
    <row r="1424" spans="1:13" x14ac:dyDescent="0.2">
      <c r="A1424" s="3">
        <f>StartYear+1422</f>
        <v>3447</v>
      </c>
      <c r="B1424" s="4">
        <f>FacultyFTE*HoursPerWeek*WeeksPerYear*RatePerHour*(1+PracticeGrowth)^1422</f>
        <v>3.8956126301552264E+35</v>
      </c>
      <c r="C1424" s="4">
        <f>StudentsY1*(1+StudentGrowth)^1422*CreditsPerStudent*TuitionPerCredit</f>
        <v>2.4347578938470167E+36</v>
      </c>
      <c r="D1424" s="4">
        <f>SimRevY1*(1+SimGrowth)^1422</f>
        <v>3.6255032546343528E+63</v>
      </c>
      <c r="E1424" s="4">
        <f>FacDevRevY1*(1+FacDevGrowth)^1422</f>
        <v>1.8127516273171764E+63</v>
      </c>
      <c r="F1424" s="4">
        <f t="shared" si="88"/>
        <v>5.4382548819515292E+63</v>
      </c>
      <c r="G1424" s="4">
        <f t="shared" si="89"/>
        <v>5.4382548819515292E+63</v>
      </c>
      <c r="H1424" s="4">
        <f>SalaryFTECount*SalaryPerFTE*(1+SalaryGrowth)^1422</f>
        <v>3.4964536670545951E+29</v>
      </c>
      <c r="I1424" s="4">
        <f>SimOpsY1*(1+SimOpsGrowth)^1422</f>
        <v>1.0132148752865362E+52</v>
      </c>
      <c r="J1424" s="4">
        <f>TrainDevY1*(1+TrainDevGrowth)^1422</f>
        <v>5.066074376432681E+51</v>
      </c>
      <c r="K1424" s="4">
        <f>AdminY1*(1+AdminGrowth)^1422</f>
        <v>1.9318366549098927E+40</v>
      </c>
      <c r="L1424" s="4">
        <f t="shared" si="90"/>
        <v>1.5198223129317362E+52</v>
      </c>
      <c r="M1424" s="4">
        <f t="shared" si="91"/>
        <v>5.438254881936331E+63</v>
      </c>
    </row>
    <row r="1425" spans="1:13" x14ac:dyDescent="0.2">
      <c r="A1425" s="3">
        <f>StartYear+1423</f>
        <v>3448</v>
      </c>
      <c r="B1425" s="4">
        <f>FacultyFTE*HoursPerWeek*WeeksPerYear*RatePerHour*(1+PracticeGrowth)^1423</f>
        <v>4.0903932616629895E+35</v>
      </c>
      <c r="C1425" s="4">
        <f>StudentsY1*(1+StudentGrowth)^1423*CreditsPerStudent*TuitionPerCredit</f>
        <v>2.5564957885393684E+36</v>
      </c>
      <c r="D1425" s="4">
        <f>SimRevY1*(1+SimGrowth)^1423</f>
        <v>3.9880535800977879E+63</v>
      </c>
      <c r="E1425" s="4">
        <f>FacDevRevY1*(1+FacDevGrowth)^1423</f>
        <v>1.994026790048894E+63</v>
      </c>
      <c r="F1425" s="4">
        <f t="shared" si="88"/>
        <v>5.9820803701466819E+63</v>
      </c>
      <c r="G1425" s="4">
        <f t="shared" si="89"/>
        <v>5.9820803701466819E+63</v>
      </c>
      <c r="H1425" s="4">
        <f>SalaryFTECount*SalaryPerFTE*(1+SalaryGrowth)^1423</f>
        <v>3.6363118137367786E+29</v>
      </c>
      <c r="I1425" s="4">
        <f>SimOpsY1*(1+SimOpsGrowth)^1423</f>
        <v>1.094272065309459E+52</v>
      </c>
      <c r="J1425" s="4">
        <f>TrainDevY1*(1+TrainDevGrowth)^1423</f>
        <v>5.4713603265472948E+51</v>
      </c>
      <c r="K1425" s="4">
        <f>AdminY1*(1+AdminGrowth)^1423</f>
        <v>2.0477468542044867E+40</v>
      </c>
      <c r="L1425" s="4">
        <f t="shared" si="90"/>
        <v>1.6414080979662362E+52</v>
      </c>
      <c r="M1425" s="4">
        <f t="shared" si="91"/>
        <v>5.9820803701302677E+63</v>
      </c>
    </row>
    <row r="1426" spans="1:13" x14ac:dyDescent="0.2">
      <c r="A1426" s="3">
        <f>StartYear+1424</f>
        <v>3449</v>
      </c>
      <c r="B1426" s="4">
        <f>FacultyFTE*HoursPerWeek*WeeksPerYear*RatePerHour*(1+PracticeGrowth)^1424</f>
        <v>4.2949129247461385E+35</v>
      </c>
      <c r="C1426" s="4">
        <f>StudentsY1*(1+StudentGrowth)^1424*CreditsPerStudent*TuitionPerCredit</f>
        <v>2.684320577966336E+36</v>
      </c>
      <c r="D1426" s="4">
        <f>SimRevY1*(1+SimGrowth)^1424</f>
        <v>4.3868589381075667E+63</v>
      </c>
      <c r="E1426" s="4">
        <f>FacDevRevY1*(1+FacDevGrowth)^1424</f>
        <v>2.1934294690537833E+63</v>
      </c>
      <c r="F1426" s="4">
        <f t="shared" si="88"/>
        <v>6.5802884071613497E+63</v>
      </c>
      <c r="G1426" s="4">
        <f t="shared" si="89"/>
        <v>6.5802884071613497E+63</v>
      </c>
      <c r="H1426" s="4">
        <f>SalaryFTECount*SalaryPerFTE*(1+SalaryGrowth)^1424</f>
        <v>3.7817642862862503E+29</v>
      </c>
      <c r="I1426" s="4">
        <f>SimOpsY1*(1+SimOpsGrowth)^1424</f>
        <v>1.1818138305342158E+52</v>
      </c>
      <c r="J1426" s="4">
        <f>TrainDevY1*(1+TrainDevGrowth)^1424</f>
        <v>5.909069152671079E+51</v>
      </c>
      <c r="K1426" s="4">
        <f>AdminY1*(1+AdminGrowth)^1424</f>
        <v>2.1706116654567553E+40</v>
      </c>
      <c r="L1426" s="4">
        <f t="shared" si="90"/>
        <v>1.7727207458034944E+52</v>
      </c>
      <c r="M1426" s="4">
        <f t="shared" si="91"/>
        <v>6.5802884071436224E+63</v>
      </c>
    </row>
    <row r="1427" spans="1:13" x14ac:dyDescent="0.2">
      <c r="A1427" s="3">
        <f>StartYear+1425</f>
        <v>3450</v>
      </c>
      <c r="B1427" s="4">
        <f>FacultyFTE*HoursPerWeek*WeeksPerYear*RatePerHour*(1+PracticeGrowth)^1425</f>
        <v>4.5096585709834457E+35</v>
      </c>
      <c r="C1427" s="4">
        <f>StudentsY1*(1+StudentGrowth)^1425*CreditsPerStudent*TuitionPerCredit</f>
        <v>2.8185366068646533E+36</v>
      </c>
      <c r="D1427" s="4">
        <f>SimRevY1*(1+SimGrowth)^1425</f>
        <v>4.825544831918324E+63</v>
      </c>
      <c r="E1427" s="4">
        <f>FacDevRevY1*(1+FacDevGrowth)^1425</f>
        <v>2.412772415959162E+63</v>
      </c>
      <c r="F1427" s="4">
        <f t="shared" si="88"/>
        <v>7.2383172478774864E+63</v>
      </c>
      <c r="G1427" s="4">
        <f t="shared" si="89"/>
        <v>7.2383172478774864E+63</v>
      </c>
      <c r="H1427" s="4">
        <f>SalaryFTECount*SalaryPerFTE*(1+SalaryGrowth)^1425</f>
        <v>3.933034857737701E+29</v>
      </c>
      <c r="I1427" s="4">
        <f>SimOpsY1*(1+SimOpsGrowth)^1425</f>
        <v>1.2763589369769531E+52</v>
      </c>
      <c r="J1427" s="4">
        <f>TrainDevY1*(1+TrainDevGrowth)^1425</f>
        <v>6.3817946848847654E+51</v>
      </c>
      <c r="K1427" s="4">
        <f>AdminY1*(1+AdminGrowth)^1425</f>
        <v>2.3008483653841611E+40</v>
      </c>
      <c r="L1427" s="4">
        <f t="shared" si="90"/>
        <v>1.9145384054677304E+52</v>
      </c>
      <c r="M1427" s="4">
        <f t="shared" si="91"/>
        <v>7.2383172478583407E+63</v>
      </c>
    </row>
    <row r="1428" spans="1:13" x14ac:dyDescent="0.2">
      <c r="A1428" s="3">
        <f>StartYear+1426</f>
        <v>3451</v>
      </c>
      <c r="B1428" s="4">
        <f>FacultyFTE*HoursPerWeek*WeeksPerYear*RatePerHour*(1+PracticeGrowth)^1426</f>
        <v>4.7351414995326172E+35</v>
      </c>
      <c r="C1428" s="4">
        <f>StudentsY1*(1+StudentGrowth)^1426*CreditsPerStudent*TuitionPerCredit</f>
        <v>2.9594634372078858E+36</v>
      </c>
      <c r="D1428" s="4">
        <f>SimRevY1*(1+SimGrowth)^1426</f>
        <v>5.3080993151101561E+63</v>
      </c>
      <c r="E1428" s="4">
        <f>FacDevRevY1*(1+FacDevGrowth)^1426</f>
        <v>2.654049657555078E+63</v>
      </c>
      <c r="F1428" s="4">
        <f t="shared" si="88"/>
        <v>7.9621489726652344E+63</v>
      </c>
      <c r="G1428" s="4">
        <f t="shared" si="89"/>
        <v>7.9621489726652344E+63</v>
      </c>
      <c r="H1428" s="4">
        <f>SalaryFTECount*SalaryPerFTE*(1+SalaryGrowth)^1426</f>
        <v>4.0903562520472086E+29</v>
      </c>
      <c r="I1428" s="4">
        <f>SimOpsY1*(1+SimOpsGrowth)^1426</f>
        <v>1.3784676519351094E+52</v>
      </c>
      <c r="J1428" s="4">
        <f>TrainDevY1*(1+TrainDevGrowth)^1426</f>
        <v>6.8923382596755469E+51</v>
      </c>
      <c r="K1428" s="4">
        <f>AdminY1*(1+AdminGrowth)^1426</f>
        <v>2.4388992673072105E+40</v>
      </c>
      <c r="L1428" s="4">
        <f t="shared" si="90"/>
        <v>2.0677014779051029E+52</v>
      </c>
      <c r="M1428" s="4">
        <f t="shared" si="91"/>
        <v>7.9621489726445571E+63</v>
      </c>
    </row>
    <row r="1429" spans="1:13" x14ac:dyDescent="0.2">
      <c r="A1429" s="3">
        <f>StartYear+1427</f>
        <v>3452</v>
      </c>
      <c r="B1429" s="4">
        <f>FacultyFTE*HoursPerWeek*WeeksPerYear*RatePerHour*(1+PracticeGrowth)^1427</f>
        <v>4.971898574509249E+35</v>
      </c>
      <c r="C1429" s="4">
        <f>StudentsY1*(1+StudentGrowth)^1427*CreditsPerStudent*TuitionPerCredit</f>
        <v>3.1074366090682808E+36</v>
      </c>
      <c r="D1429" s="4">
        <f>SimRevY1*(1+SimGrowth)^1427</f>
        <v>5.8389092466211738E+63</v>
      </c>
      <c r="E1429" s="4">
        <f>FacDevRevY1*(1+FacDevGrowth)^1427</f>
        <v>2.9194546233105869E+63</v>
      </c>
      <c r="F1429" s="4">
        <f t="shared" si="88"/>
        <v>8.7583638699317614E+63</v>
      </c>
      <c r="G1429" s="4">
        <f t="shared" si="89"/>
        <v>8.7583638699317614E+63</v>
      </c>
      <c r="H1429" s="4">
        <f>SalaryFTECount*SalaryPerFTE*(1+SalaryGrowth)^1427</f>
        <v>4.2539705021290975E+29</v>
      </c>
      <c r="I1429" s="4">
        <f>SimOpsY1*(1+SimOpsGrowth)^1427</f>
        <v>1.4887450640899184E+52</v>
      </c>
      <c r="J1429" s="4">
        <f>TrainDevY1*(1+TrainDevGrowth)^1427</f>
        <v>7.443725320449592E+51</v>
      </c>
      <c r="K1429" s="4">
        <f>AdminY1*(1+AdminGrowth)^1427</f>
        <v>2.5852332233456435E+40</v>
      </c>
      <c r="L1429" s="4">
        <f t="shared" si="90"/>
        <v>2.2331175961374628E+52</v>
      </c>
      <c r="M1429" s="4">
        <f t="shared" si="91"/>
        <v>8.7583638699094297E+63</v>
      </c>
    </row>
    <row r="1430" spans="1:13" x14ac:dyDescent="0.2">
      <c r="A1430" s="3">
        <f>StartYear+1428</f>
        <v>3453</v>
      </c>
      <c r="B1430" s="4">
        <f>FacultyFTE*HoursPerWeek*WeeksPerYear*RatePerHour*(1+PracticeGrowth)^1428</f>
        <v>5.2204935032347115E+35</v>
      </c>
      <c r="C1430" s="4">
        <f>StudentsY1*(1+StudentGrowth)^1428*CreditsPerStudent*TuitionPerCredit</f>
        <v>3.2628084395216951E+36</v>
      </c>
      <c r="D1430" s="4">
        <f>SimRevY1*(1+SimGrowth)^1428</f>
        <v>6.4228001712832903E+63</v>
      </c>
      <c r="E1430" s="4">
        <f>FacDevRevY1*(1+FacDevGrowth)^1428</f>
        <v>3.2114000856416451E+63</v>
      </c>
      <c r="F1430" s="4">
        <f t="shared" si="88"/>
        <v>9.6342002569249358E+63</v>
      </c>
      <c r="G1430" s="4">
        <f t="shared" si="89"/>
        <v>9.6342002569249358E+63</v>
      </c>
      <c r="H1430" s="4">
        <f>SalaryFTECount*SalaryPerFTE*(1+SalaryGrowth)^1428</f>
        <v>4.4241293222142613E+29</v>
      </c>
      <c r="I1430" s="4">
        <f>SimOpsY1*(1+SimOpsGrowth)^1428</f>
        <v>1.6078446692171118E+52</v>
      </c>
      <c r="J1430" s="4">
        <f>TrainDevY1*(1+TrainDevGrowth)^1428</f>
        <v>8.0392233460855588E+51</v>
      </c>
      <c r="K1430" s="4">
        <f>AdminY1*(1+AdminGrowth)^1428</f>
        <v>2.740347216746382E+40</v>
      </c>
      <c r="L1430" s="4">
        <f t="shared" si="90"/>
        <v>2.4117670038284077E+52</v>
      </c>
      <c r="M1430" s="4">
        <f t="shared" si="91"/>
        <v>9.6342002569008181E+63</v>
      </c>
    </row>
    <row r="1431" spans="1:13" x14ac:dyDescent="0.2">
      <c r="A1431" s="3">
        <f>StartYear+1429</f>
        <v>3454</v>
      </c>
      <c r="B1431" s="4">
        <f>FacultyFTE*HoursPerWeek*WeeksPerYear*RatePerHour*(1+PracticeGrowth)^1429</f>
        <v>5.4815181783964478E+35</v>
      </c>
      <c r="C1431" s="4">
        <f>StudentsY1*(1+StudentGrowth)^1429*CreditsPerStudent*TuitionPerCredit</f>
        <v>3.4259488614977801E+36</v>
      </c>
      <c r="D1431" s="4">
        <f>SimRevY1*(1+SimGrowth)^1429</f>
        <v>7.0650801884116197E+63</v>
      </c>
      <c r="E1431" s="4">
        <f>FacDevRevY1*(1+FacDevGrowth)^1429</f>
        <v>3.5325400942058098E+63</v>
      </c>
      <c r="F1431" s="4">
        <f t="shared" si="88"/>
        <v>1.059762028261743E+64</v>
      </c>
      <c r="G1431" s="4">
        <f t="shared" si="89"/>
        <v>1.059762028261743E+64</v>
      </c>
      <c r="H1431" s="4">
        <f>SalaryFTECount*SalaryPerFTE*(1+SalaryGrowth)^1429</f>
        <v>4.6010944951028332E+29</v>
      </c>
      <c r="I1431" s="4">
        <f>SimOpsY1*(1+SimOpsGrowth)^1429</f>
        <v>1.7364722427544808E+52</v>
      </c>
      <c r="J1431" s="4">
        <f>TrainDevY1*(1+TrainDevGrowth)^1429</f>
        <v>8.6823612137724038E+51</v>
      </c>
      <c r="K1431" s="4">
        <f>AdminY1*(1+AdminGrowth)^1429</f>
        <v>2.9047680497511652E+40</v>
      </c>
      <c r="L1431" s="4">
        <f t="shared" si="90"/>
        <v>2.6047083641346258E+52</v>
      </c>
      <c r="M1431" s="4">
        <f t="shared" si="91"/>
        <v>1.0597620282591383E+64</v>
      </c>
    </row>
    <row r="1432" spans="1:13" x14ac:dyDescent="0.2">
      <c r="A1432" s="3">
        <f>StartYear+1430</f>
        <v>3455</v>
      </c>
      <c r="B1432" s="4">
        <f>FacultyFTE*HoursPerWeek*WeeksPerYear*RatePerHour*(1+PracticeGrowth)^1430</f>
        <v>5.7555940873162685E+35</v>
      </c>
      <c r="C1432" s="4">
        <f>StudentsY1*(1+StudentGrowth)^1430*CreditsPerStudent*TuitionPerCredit</f>
        <v>3.5972463045726674E+36</v>
      </c>
      <c r="D1432" s="4">
        <f>SimRevY1*(1+SimGrowth)^1430</f>
        <v>7.7715882072527827E+63</v>
      </c>
      <c r="E1432" s="4">
        <f>FacDevRevY1*(1+FacDevGrowth)^1430</f>
        <v>3.8857941036263913E+63</v>
      </c>
      <c r="F1432" s="4">
        <f t="shared" si="88"/>
        <v>1.1657382310879175E+64</v>
      </c>
      <c r="G1432" s="4">
        <f t="shared" si="89"/>
        <v>1.1657382310879175E+64</v>
      </c>
      <c r="H1432" s="4">
        <f>SalaryFTECount*SalaryPerFTE*(1+SalaryGrowth)^1430</f>
        <v>4.7851382749069456E+29</v>
      </c>
      <c r="I1432" s="4">
        <f>SimOpsY1*(1+SimOpsGrowth)^1430</f>
        <v>1.8753900221748399E+52</v>
      </c>
      <c r="J1432" s="4">
        <f>TrainDevY1*(1+TrainDevGrowth)^1430</f>
        <v>9.3769501108741993E+51</v>
      </c>
      <c r="K1432" s="4">
        <f>AdminY1*(1+AdminGrowth)^1430</f>
        <v>3.0790541327362357E+40</v>
      </c>
      <c r="L1432" s="4">
        <f t="shared" si="90"/>
        <v>2.8130850332653388E+52</v>
      </c>
      <c r="M1432" s="4">
        <f t="shared" si="91"/>
        <v>1.1657382310851044E+64</v>
      </c>
    </row>
    <row r="1433" spans="1:13" x14ac:dyDescent="0.2">
      <c r="A1433" s="3">
        <f>StartYear+1431</f>
        <v>3456</v>
      </c>
      <c r="B1433" s="4">
        <f>FacultyFTE*HoursPerWeek*WeeksPerYear*RatePerHour*(1+PracticeGrowth)^1431</f>
        <v>6.0433737916820835E+35</v>
      </c>
      <c r="C1433" s="4">
        <f>StudentsY1*(1+StudentGrowth)^1431*CreditsPerStudent*TuitionPerCredit</f>
        <v>3.7771086198013021E+36</v>
      </c>
      <c r="D1433" s="4">
        <f>SimRevY1*(1+SimGrowth)^1431</f>
        <v>8.5487470279780622E+63</v>
      </c>
      <c r="E1433" s="4">
        <f>FacDevRevY1*(1+FacDevGrowth)^1431</f>
        <v>4.2743735139890311E+63</v>
      </c>
      <c r="F1433" s="4">
        <f t="shared" si="88"/>
        <v>1.2823120541967093E+64</v>
      </c>
      <c r="G1433" s="4">
        <f t="shared" si="89"/>
        <v>1.2823120541967093E+64</v>
      </c>
      <c r="H1433" s="4">
        <f>SalaryFTECount*SalaryPerFTE*(1+SalaryGrowth)^1431</f>
        <v>4.9765438059032229E+29</v>
      </c>
      <c r="I1433" s="4">
        <f>SimOpsY1*(1+SimOpsGrowth)^1431</f>
        <v>2.0254212239488267E+52</v>
      </c>
      <c r="J1433" s="4">
        <f>TrainDevY1*(1+TrainDevGrowth)^1431</f>
        <v>1.0127106119744134E+52</v>
      </c>
      <c r="K1433" s="4">
        <f>AdminY1*(1+AdminGrowth)^1431</f>
        <v>3.2637973807004105E+40</v>
      </c>
      <c r="L1433" s="4">
        <f t="shared" si="90"/>
        <v>3.0381318359265043E+52</v>
      </c>
      <c r="M1433" s="4">
        <f t="shared" si="91"/>
        <v>1.2823120541936712E+64</v>
      </c>
    </row>
    <row r="1434" spans="1:13" x14ac:dyDescent="0.2">
      <c r="A1434" s="3">
        <f>StartYear+1432</f>
        <v>3457</v>
      </c>
      <c r="B1434" s="4">
        <f>FacultyFTE*HoursPerWeek*WeeksPerYear*RatePerHour*(1+PracticeGrowth)^1432</f>
        <v>6.3455424812661856E+35</v>
      </c>
      <c r="C1434" s="4">
        <f>StudentsY1*(1+StudentGrowth)^1432*CreditsPerStudent*TuitionPerCredit</f>
        <v>3.9659640507913661E+36</v>
      </c>
      <c r="D1434" s="4">
        <f>SimRevY1*(1+SimGrowth)^1432</f>
        <v>9.4036217307758688E+63</v>
      </c>
      <c r="E1434" s="4">
        <f>FacDevRevY1*(1+FacDevGrowth)^1432</f>
        <v>4.7018108653879344E+63</v>
      </c>
      <c r="F1434" s="4">
        <f t="shared" si="88"/>
        <v>1.4105432596163802E+64</v>
      </c>
      <c r="G1434" s="4">
        <f t="shared" si="89"/>
        <v>1.4105432596163802E+64</v>
      </c>
      <c r="H1434" s="4">
        <f>SalaryFTECount*SalaryPerFTE*(1+SalaryGrowth)^1432</f>
        <v>5.1756055581393528E+29</v>
      </c>
      <c r="I1434" s="4">
        <f>SimOpsY1*(1+SimOpsGrowth)^1432</f>
        <v>2.1874549218647327E+52</v>
      </c>
      <c r="J1434" s="4">
        <f>TrainDevY1*(1+TrainDevGrowth)^1432</f>
        <v>1.0937274609323663E+52</v>
      </c>
      <c r="K1434" s="4">
        <f>AdminY1*(1+AdminGrowth)^1432</f>
        <v>3.4596252235424347E+40</v>
      </c>
      <c r="L1434" s="4">
        <f t="shared" si="90"/>
        <v>3.2811823828005588E+52</v>
      </c>
      <c r="M1434" s="4">
        <f t="shared" si="91"/>
        <v>1.4105432596130991E+64</v>
      </c>
    </row>
    <row r="1435" spans="1:13" x14ac:dyDescent="0.2">
      <c r="A1435" s="3">
        <f>StartYear+1433</f>
        <v>3458</v>
      </c>
      <c r="B1435" s="4">
        <f>FacultyFTE*HoursPerWeek*WeeksPerYear*RatePerHour*(1+PracticeGrowth)^1433</f>
        <v>6.6628196053294964E+35</v>
      </c>
      <c r="C1435" s="4">
        <f>StudentsY1*(1+StudentGrowth)^1433*CreditsPerStudent*TuitionPerCredit</f>
        <v>4.1642622533309353E+36</v>
      </c>
      <c r="D1435" s="4">
        <f>SimRevY1*(1+SimGrowth)^1433</f>
        <v>1.0343983903853454E+64</v>
      </c>
      <c r="E1435" s="4">
        <f>FacDevRevY1*(1+FacDevGrowth)^1433</f>
        <v>5.1719919519267269E+63</v>
      </c>
      <c r="F1435" s="4">
        <f t="shared" si="88"/>
        <v>1.551597585578018E+64</v>
      </c>
      <c r="G1435" s="4">
        <f t="shared" si="89"/>
        <v>1.551597585578018E+64</v>
      </c>
      <c r="H1435" s="4">
        <f>SalaryFTECount*SalaryPerFTE*(1+SalaryGrowth)^1433</f>
        <v>5.3826297804649288E+29</v>
      </c>
      <c r="I1435" s="4">
        <f>SimOpsY1*(1+SimOpsGrowth)^1433</f>
        <v>2.3624513156139121E+52</v>
      </c>
      <c r="J1435" s="4">
        <f>TrainDevY1*(1+TrainDevGrowth)^1433</f>
        <v>1.1812256578069561E+52</v>
      </c>
      <c r="K1435" s="4">
        <f>AdminY1*(1+AdminGrowth)^1433</f>
        <v>3.66720273695498E+40</v>
      </c>
      <c r="L1435" s="4">
        <f t="shared" si="90"/>
        <v>3.5436769734245351E+52</v>
      </c>
      <c r="M1435" s="4">
        <f t="shared" si="91"/>
        <v>1.5515975855744745E+64</v>
      </c>
    </row>
    <row r="1436" spans="1:13" x14ac:dyDescent="0.2">
      <c r="A1436" s="3">
        <f>StartYear+1434</f>
        <v>3459</v>
      </c>
      <c r="B1436" s="4">
        <f>FacultyFTE*HoursPerWeek*WeeksPerYear*RatePerHour*(1+PracticeGrowth)^1434</f>
        <v>6.995960585595971E+35</v>
      </c>
      <c r="C1436" s="4">
        <f>StudentsY1*(1+StudentGrowth)^1434*CreditsPerStudent*TuitionPerCredit</f>
        <v>4.3724753659974823E+36</v>
      </c>
      <c r="D1436" s="4">
        <f>SimRevY1*(1+SimGrowth)^1434</f>
        <v>1.1378382294238799E+64</v>
      </c>
      <c r="E1436" s="4">
        <f>FacDevRevY1*(1+FacDevGrowth)^1434</f>
        <v>5.6891911471193996E+63</v>
      </c>
      <c r="F1436" s="4">
        <f t="shared" si="88"/>
        <v>1.7067573441358197E+64</v>
      </c>
      <c r="G1436" s="4">
        <f t="shared" si="89"/>
        <v>1.7067573441358197E+64</v>
      </c>
      <c r="H1436" s="4">
        <f>SalaryFTECount*SalaryPerFTE*(1+SalaryGrowth)^1434</f>
        <v>5.5979349716835238E+29</v>
      </c>
      <c r="I1436" s="4">
        <f>SimOpsY1*(1+SimOpsGrowth)^1434</f>
        <v>2.5514474208630249E+52</v>
      </c>
      <c r="J1436" s="4">
        <f>TrainDevY1*(1+TrainDevGrowth)^1434</f>
        <v>1.2757237104315125E+52</v>
      </c>
      <c r="K1436" s="4">
        <f>AdminY1*(1+AdminGrowth)^1434</f>
        <v>3.8872349011722798E+40</v>
      </c>
      <c r="L1436" s="4">
        <f t="shared" si="90"/>
        <v>3.8271711312984246E+52</v>
      </c>
      <c r="M1436" s="4">
        <f t="shared" si="91"/>
        <v>1.7067573441319926E+64</v>
      </c>
    </row>
    <row r="1437" spans="1:13" x14ac:dyDescent="0.2">
      <c r="A1437" s="3">
        <f>StartYear+1435</f>
        <v>3460</v>
      </c>
      <c r="B1437" s="4">
        <f>FacultyFTE*HoursPerWeek*WeeksPerYear*RatePerHour*(1+PracticeGrowth)^1435</f>
        <v>7.345758614875771E+35</v>
      </c>
      <c r="C1437" s="4">
        <f>StudentsY1*(1+StudentGrowth)^1435*CreditsPerStudent*TuitionPerCredit</f>
        <v>4.5910991342973568E+36</v>
      </c>
      <c r="D1437" s="4">
        <f>SimRevY1*(1+SimGrowth)^1435</f>
        <v>1.2516220523662685E+64</v>
      </c>
      <c r="E1437" s="4">
        <f>FacDevRevY1*(1+FacDevGrowth)^1435</f>
        <v>6.2581102618313424E+63</v>
      </c>
      <c r="F1437" s="4">
        <f t="shared" si="88"/>
        <v>1.8774330785494028E+64</v>
      </c>
      <c r="G1437" s="4">
        <f t="shared" si="89"/>
        <v>1.8774330785494028E+64</v>
      </c>
      <c r="H1437" s="4">
        <f>SalaryFTECount*SalaryPerFTE*(1+SalaryGrowth)^1435</f>
        <v>5.8218523705508655E+29</v>
      </c>
      <c r="I1437" s="4">
        <f>SimOpsY1*(1+SimOpsGrowth)^1435</f>
        <v>2.7555632145320667E+52</v>
      </c>
      <c r="J1437" s="4">
        <f>TrainDevY1*(1+TrainDevGrowth)^1435</f>
        <v>1.3777816072660333E+52</v>
      </c>
      <c r="K1437" s="4">
        <f>AdminY1*(1+AdminGrowth)^1435</f>
        <v>4.120468995242617E+40</v>
      </c>
      <c r="L1437" s="4">
        <f t="shared" si="90"/>
        <v>4.1333448218022206E+52</v>
      </c>
      <c r="M1437" s="4">
        <f t="shared" si="91"/>
        <v>1.8774330785452694E+64</v>
      </c>
    </row>
    <row r="1438" spans="1:13" x14ac:dyDescent="0.2">
      <c r="A1438" s="3">
        <f>StartYear+1436</f>
        <v>3461</v>
      </c>
      <c r="B1438" s="4">
        <f>FacultyFTE*HoursPerWeek*WeeksPerYear*RatePerHour*(1+PracticeGrowth)^1436</f>
        <v>7.7130465456195586E+35</v>
      </c>
      <c r="C1438" s="4">
        <f>StudentsY1*(1+StudentGrowth)^1436*CreditsPerStudent*TuitionPerCredit</f>
        <v>4.8206540910122249E+36</v>
      </c>
      <c r="D1438" s="4">
        <f>SimRevY1*(1+SimGrowth)^1436</f>
        <v>1.3767842576028954E+64</v>
      </c>
      <c r="E1438" s="4">
        <f>FacDevRevY1*(1+FacDevGrowth)^1436</f>
        <v>6.8839212880144771E+63</v>
      </c>
      <c r="F1438" s="4">
        <f t="shared" si="88"/>
        <v>2.0651763864043431E+64</v>
      </c>
      <c r="G1438" s="4">
        <f t="shared" si="89"/>
        <v>2.0651763864043431E+64</v>
      </c>
      <c r="H1438" s="4">
        <f>SalaryFTECount*SalaryPerFTE*(1+SalaryGrowth)^1436</f>
        <v>6.0547264653729016E+29</v>
      </c>
      <c r="I1438" s="4">
        <f>SimOpsY1*(1+SimOpsGrowth)^1436</f>
        <v>2.9760082716946321E+52</v>
      </c>
      <c r="J1438" s="4">
        <f>TrainDevY1*(1+TrainDevGrowth)^1436</f>
        <v>1.488004135847316E+52</v>
      </c>
      <c r="K1438" s="4">
        <f>AdminY1*(1+AdminGrowth)^1436</f>
        <v>4.367697134957174E+40</v>
      </c>
      <c r="L1438" s="4">
        <f t="shared" si="90"/>
        <v>4.4640124075463157E+52</v>
      </c>
      <c r="M1438" s="4">
        <f t="shared" si="91"/>
        <v>2.0651763863998791E+64</v>
      </c>
    </row>
    <row r="1439" spans="1:13" x14ac:dyDescent="0.2">
      <c r="A1439" s="3">
        <f>StartYear+1437</f>
        <v>3462</v>
      </c>
      <c r="B1439" s="4">
        <f>FacultyFTE*HoursPerWeek*WeeksPerYear*RatePerHour*(1+PracticeGrowth)^1437</f>
        <v>8.0986988729005374E+35</v>
      </c>
      <c r="C1439" s="4">
        <f>StudentsY1*(1+StudentGrowth)^1437*CreditsPerStudent*TuitionPerCredit</f>
        <v>5.0616867955628358E+36</v>
      </c>
      <c r="D1439" s="4">
        <f>SimRevY1*(1+SimGrowth)^1437</f>
        <v>1.5144626833631849E+64</v>
      </c>
      <c r="E1439" s="4">
        <f>FacDevRevY1*(1+FacDevGrowth)^1437</f>
        <v>7.5723134168159245E+63</v>
      </c>
      <c r="F1439" s="4">
        <f t="shared" si="88"/>
        <v>2.2716940250447773E+64</v>
      </c>
      <c r="G1439" s="4">
        <f t="shared" si="89"/>
        <v>2.2716940250447773E+64</v>
      </c>
      <c r="H1439" s="4">
        <f>SalaryFTECount*SalaryPerFTE*(1+SalaryGrowth)^1437</f>
        <v>6.296915523987818E+29</v>
      </c>
      <c r="I1439" s="4">
        <f>SimOpsY1*(1+SimOpsGrowth)^1437</f>
        <v>3.2140889334302025E+52</v>
      </c>
      <c r="J1439" s="4">
        <f>TrainDevY1*(1+TrainDevGrowth)^1437</f>
        <v>1.6070444667151013E+52</v>
      </c>
      <c r="K1439" s="4">
        <f>AdminY1*(1+AdminGrowth)^1437</f>
        <v>4.629758963054605E+40</v>
      </c>
      <c r="L1439" s="4">
        <f t="shared" si="90"/>
        <v>4.8211334001499335E+52</v>
      </c>
      <c r="M1439" s="4">
        <f t="shared" si="91"/>
        <v>2.2716940250399561E+64</v>
      </c>
    </row>
    <row r="1440" spans="1:13" x14ac:dyDescent="0.2">
      <c r="A1440" s="3">
        <f>StartYear+1438</f>
        <v>3463</v>
      </c>
      <c r="B1440" s="4">
        <f>FacultyFTE*HoursPerWeek*WeeksPerYear*RatePerHour*(1+PracticeGrowth)^1438</f>
        <v>8.5036338165455615E+35</v>
      </c>
      <c r="C1440" s="4">
        <f>StudentsY1*(1+StudentGrowth)^1438*CreditsPerStudent*TuitionPerCredit</f>
        <v>5.3147711353409756E+36</v>
      </c>
      <c r="D1440" s="4">
        <f>SimRevY1*(1+SimGrowth)^1438</f>
        <v>1.6659089516995039E+64</v>
      </c>
      <c r="E1440" s="4">
        <f>FacDevRevY1*(1+FacDevGrowth)^1438</f>
        <v>8.3295447584975193E+63</v>
      </c>
      <c r="F1440" s="4">
        <f t="shared" si="88"/>
        <v>2.4988634275492556E+64</v>
      </c>
      <c r="G1440" s="4">
        <f t="shared" si="89"/>
        <v>2.4988634275492556E+64</v>
      </c>
      <c r="H1440" s="4">
        <f>SalaryFTECount*SalaryPerFTE*(1+SalaryGrowth)^1438</f>
        <v>6.5487921449473294E+29</v>
      </c>
      <c r="I1440" s="4">
        <f>SimOpsY1*(1+SimOpsGrowth)^1438</f>
        <v>3.4712160481046197E+52</v>
      </c>
      <c r="J1440" s="4">
        <f>TrainDevY1*(1+TrainDevGrowth)^1438</f>
        <v>1.7356080240523098E+52</v>
      </c>
      <c r="K1440" s="4">
        <f>AdminY1*(1+AdminGrowth)^1438</f>
        <v>4.9075445008378809E+40</v>
      </c>
      <c r="L1440" s="4">
        <f t="shared" si="90"/>
        <v>5.2068240721618376E+52</v>
      </c>
      <c r="M1440" s="4">
        <f t="shared" si="91"/>
        <v>2.4988634275440489E+64</v>
      </c>
    </row>
    <row r="1441" spans="1:13" x14ac:dyDescent="0.2">
      <c r="A1441" s="3">
        <f>StartYear+1439</f>
        <v>3464</v>
      </c>
      <c r="B1441" s="4">
        <f>FacultyFTE*HoursPerWeek*WeeksPerYear*RatePerHour*(1+PracticeGrowth)^1439</f>
        <v>8.9288155073728427E+35</v>
      </c>
      <c r="C1441" s="4">
        <f>StudentsY1*(1+StudentGrowth)^1439*CreditsPerStudent*TuitionPerCredit</f>
        <v>5.5805096921080267E+36</v>
      </c>
      <c r="D1441" s="4">
        <f>SimRevY1*(1+SimGrowth)^1439</f>
        <v>1.8324998468694539E+64</v>
      </c>
      <c r="E1441" s="4">
        <f>FacDevRevY1*(1+FacDevGrowth)^1439</f>
        <v>9.1624992343472696E+63</v>
      </c>
      <c r="F1441" s="4">
        <f t="shared" si="88"/>
        <v>2.748749770304181E+64</v>
      </c>
      <c r="G1441" s="4">
        <f t="shared" si="89"/>
        <v>2.748749770304181E+64</v>
      </c>
      <c r="H1441" s="4">
        <f>SalaryFTECount*SalaryPerFTE*(1+SalaryGrowth)^1439</f>
        <v>6.8107438307452223E+29</v>
      </c>
      <c r="I1441" s="4">
        <f>SimOpsY1*(1+SimOpsGrowth)^1439</f>
        <v>3.7489133319529899E+52</v>
      </c>
      <c r="J1441" s="4">
        <f>TrainDevY1*(1+TrainDevGrowth)^1439</f>
        <v>1.874456665976495E+52</v>
      </c>
      <c r="K1441" s="4">
        <f>AdminY1*(1+AdminGrowth)^1439</f>
        <v>5.2019971708881557E+40</v>
      </c>
      <c r="L1441" s="4">
        <f t="shared" si="90"/>
        <v>5.6233699979346865E+52</v>
      </c>
      <c r="M1441" s="4">
        <f t="shared" si="91"/>
        <v>2.7487497702985577E+64</v>
      </c>
    </row>
    <row r="1442" spans="1:13" x14ac:dyDescent="0.2">
      <c r="A1442" s="3">
        <f>StartYear+1440</f>
        <v>3465</v>
      </c>
      <c r="B1442" s="4">
        <f>FacultyFTE*HoursPerWeek*WeeksPerYear*RatePerHour*(1+PracticeGrowth)^1440</f>
        <v>9.3752562827414837E+35</v>
      </c>
      <c r="C1442" s="4">
        <f>StudentsY1*(1+StudentGrowth)^1440*CreditsPerStudent*TuitionPerCredit</f>
        <v>5.8595351767134274E+36</v>
      </c>
      <c r="D1442" s="4">
        <f>SimRevY1*(1+SimGrowth)^1440</f>
        <v>2.0157498315564E+64</v>
      </c>
      <c r="E1442" s="4">
        <f>FacDevRevY1*(1+FacDevGrowth)^1440</f>
        <v>1.0078749157782E+64</v>
      </c>
      <c r="F1442" s="4">
        <f t="shared" si="88"/>
        <v>3.0236247473345998E+64</v>
      </c>
      <c r="G1442" s="4">
        <f t="shared" si="89"/>
        <v>3.0236247473345998E+64</v>
      </c>
      <c r="H1442" s="4">
        <f>SalaryFTECount*SalaryPerFTE*(1+SalaryGrowth)^1440</f>
        <v>7.0831735839750335E+29</v>
      </c>
      <c r="I1442" s="4">
        <f>SimOpsY1*(1+SimOpsGrowth)^1440</f>
        <v>4.0488263985092288E+52</v>
      </c>
      <c r="J1442" s="4">
        <f>TrainDevY1*(1+TrainDevGrowth)^1440</f>
        <v>2.0244131992546144E+52</v>
      </c>
      <c r="K1442" s="4">
        <f>AdminY1*(1+AdminGrowth)^1440</f>
        <v>5.5141170011414435E+40</v>
      </c>
      <c r="L1442" s="4">
        <f t="shared" si="90"/>
        <v>6.0732395977693574E+52</v>
      </c>
      <c r="M1442" s="4">
        <f t="shared" si="91"/>
        <v>3.0236247473285264E+64</v>
      </c>
    </row>
    <row r="1443" spans="1:13" x14ac:dyDescent="0.2">
      <c r="A1443" s="3">
        <f>StartYear+1441</f>
        <v>3466</v>
      </c>
      <c r="B1443" s="4">
        <f>FacultyFTE*HoursPerWeek*WeeksPerYear*RatePerHour*(1+PracticeGrowth)^1441</f>
        <v>9.844019096878557E+35</v>
      </c>
      <c r="C1443" s="4">
        <f>StudentsY1*(1+StudentGrowth)^1441*CreditsPerStudent*TuitionPerCredit</f>
        <v>6.1525119355490975E+36</v>
      </c>
      <c r="D1443" s="4">
        <f>SimRevY1*(1+SimGrowth)^1441</f>
        <v>2.21732481471204E+64</v>
      </c>
      <c r="E1443" s="4">
        <f>FacDevRevY1*(1+FacDevGrowth)^1441</f>
        <v>1.10866240735602E+64</v>
      </c>
      <c r="F1443" s="4">
        <f t="shared" si="88"/>
        <v>3.3259872220680602E+64</v>
      </c>
      <c r="G1443" s="4">
        <f t="shared" si="89"/>
        <v>3.3259872220680602E+64</v>
      </c>
      <c r="H1443" s="4">
        <f>SalaryFTECount*SalaryPerFTE*(1+SalaryGrowth)^1441</f>
        <v>7.3665005273340337E+29</v>
      </c>
      <c r="I1443" s="4">
        <f>SimOpsY1*(1+SimOpsGrowth)^1441</f>
        <v>4.3727325103899668E+52</v>
      </c>
      <c r="J1443" s="4">
        <f>TrainDevY1*(1+TrainDevGrowth)^1441</f>
        <v>2.1863662551949834E+52</v>
      </c>
      <c r="K1443" s="4">
        <f>AdminY1*(1+AdminGrowth)^1441</f>
        <v>5.8449640212099318E+40</v>
      </c>
      <c r="L1443" s="4">
        <f t="shared" si="90"/>
        <v>6.5590987655907959E+52</v>
      </c>
      <c r="M1443" s="4">
        <f t="shared" si="91"/>
        <v>3.3259872220615009E+64</v>
      </c>
    </row>
    <row r="1444" spans="1:13" x14ac:dyDescent="0.2">
      <c r="A1444" s="3">
        <f>StartYear+1442</f>
        <v>3467</v>
      </c>
      <c r="B1444" s="4">
        <f>FacultyFTE*HoursPerWeek*WeeksPerYear*RatePerHour*(1+PracticeGrowth)^1442</f>
        <v>1.0336220051722484E+36</v>
      </c>
      <c r="C1444" s="4">
        <f>StudentsY1*(1+StudentGrowth)^1442*CreditsPerStudent*TuitionPerCredit</f>
        <v>6.4601375323265517E+36</v>
      </c>
      <c r="D1444" s="4">
        <f>SimRevY1*(1+SimGrowth)^1442</f>
        <v>2.4390572961832442E+64</v>
      </c>
      <c r="E1444" s="4">
        <f>FacDevRevY1*(1+FacDevGrowth)^1442</f>
        <v>1.2195286480916221E+64</v>
      </c>
      <c r="F1444" s="4">
        <f t="shared" si="88"/>
        <v>3.6585859442748665E+64</v>
      </c>
      <c r="G1444" s="4">
        <f t="shared" si="89"/>
        <v>3.6585859442748665E+64</v>
      </c>
      <c r="H1444" s="4">
        <f>SalaryFTECount*SalaryPerFTE*(1+SalaryGrowth)^1442</f>
        <v>7.6611605484273968E+29</v>
      </c>
      <c r="I1444" s="4">
        <f>SimOpsY1*(1+SimOpsGrowth)^1442</f>
        <v>4.7225511112211643E+52</v>
      </c>
      <c r="J1444" s="4">
        <f>TrainDevY1*(1+TrainDevGrowth)^1442</f>
        <v>2.3612755556105821E+52</v>
      </c>
      <c r="K1444" s="4">
        <f>AdminY1*(1+AdminGrowth)^1442</f>
        <v>6.1956618624825268E+40</v>
      </c>
      <c r="L1444" s="4">
        <f t="shared" si="90"/>
        <v>7.0838266668379417E+52</v>
      </c>
      <c r="M1444" s="4">
        <f t="shared" si="91"/>
        <v>3.6585859442677829E+64</v>
      </c>
    </row>
    <row r="1445" spans="1:13" x14ac:dyDescent="0.2">
      <c r="A1445" s="3">
        <f>StartYear+1443</f>
        <v>3468</v>
      </c>
      <c r="B1445" s="4">
        <f>FacultyFTE*HoursPerWeek*WeeksPerYear*RatePerHour*(1+PracticeGrowth)^1443</f>
        <v>1.085303105430861E+36</v>
      </c>
      <c r="C1445" s="4">
        <f>StudentsY1*(1+StudentGrowth)^1443*CreditsPerStudent*TuitionPerCredit</f>
        <v>6.7831444089428815E+36</v>
      </c>
      <c r="D1445" s="4">
        <f>SimRevY1*(1+SimGrowth)^1443</f>
        <v>2.6829630258015691E+64</v>
      </c>
      <c r="E1445" s="4">
        <f>FacDevRevY1*(1+FacDevGrowth)^1443</f>
        <v>1.3414815129007846E+64</v>
      </c>
      <c r="F1445" s="4">
        <f t="shared" si="88"/>
        <v>4.0244445387023534E+64</v>
      </c>
      <c r="G1445" s="4">
        <f t="shared" si="89"/>
        <v>4.0244445387023534E+64</v>
      </c>
      <c r="H1445" s="4">
        <f>SalaryFTECount*SalaryPerFTE*(1+SalaryGrowth)^1443</f>
        <v>7.9676069703644925E+29</v>
      </c>
      <c r="I1445" s="4">
        <f>SimOpsY1*(1+SimOpsGrowth)^1443</f>
        <v>5.1003552001188578E+52</v>
      </c>
      <c r="J1445" s="4">
        <f>TrainDevY1*(1+TrainDevGrowth)^1443</f>
        <v>2.5501776000594289E+52</v>
      </c>
      <c r="K1445" s="4">
        <f>AdminY1*(1+AdminGrowth)^1443</f>
        <v>6.5674015742314797E+40</v>
      </c>
      <c r="L1445" s="4">
        <f t="shared" si="90"/>
        <v>7.6505328001848541E+52</v>
      </c>
      <c r="M1445" s="4">
        <f t="shared" si="91"/>
        <v>4.0244445386947027E+64</v>
      </c>
    </row>
    <row r="1446" spans="1:13" x14ac:dyDescent="0.2">
      <c r="A1446" s="3">
        <f>StartYear+1444</f>
        <v>3469</v>
      </c>
      <c r="B1446" s="4">
        <f>FacultyFTE*HoursPerWeek*WeeksPerYear*RatePerHour*(1+PracticeGrowth)^1444</f>
        <v>1.1395682607024041E+36</v>
      </c>
      <c r="C1446" s="4">
        <f>StudentsY1*(1+StudentGrowth)^1444*CreditsPerStudent*TuitionPerCredit</f>
        <v>7.1223016293900257E+36</v>
      </c>
      <c r="D1446" s="4">
        <f>SimRevY1*(1+SimGrowth)^1444</f>
        <v>2.9512593283817254E+64</v>
      </c>
      <c r="E1446" s="4">
        <f>FacDevRevY1*(1+FacDevGrowth)^1444</f>
        <v>1.4756296641908627E+64</v>
      </c>
      <c r="F1446" s="4">
        <f t="shared" si="88"/>
        <v>4.4268889925725884E+64</v>
      </c>
      <c r="G1446" s="4">
        <f t="shared" si="89"/>
        <v>4.4268889925725884E+64</v>
      </c>
      <c r="H1446" s="4">
        <f>SalaryFTECount*SalaryPerFTE*(1+SalaryGrowth)^1444</f>
        <v>8.2863112491790719E+29</v>
      </c>
      <c r="I1446" s="4">
        <f>SimOpsY1*(1+SimOpsGrowth)^1444</f>
        <v>5.5083836161283676E+52</v>
      </c>
      <c r="J1446" s="4">
        <f>TrainDevY1*(1+TrainDevGrowth)^1444</f>
        <v>2.7541918080641838E+52</v>
      </c>
      <c r="K1446" s="4">
        <f>AdminY1*(1+AdminGrowth)^1444</f>
        <v>6.9614456686853679E+40</v>
      </c>
      <c r="L1446" s="4">
        <f t="shared" si="90"/>
        <v>8.2625754241995133E+52</v>
      </c>
      <c r="M1446" s="4">
        <f t="shared" si="91"/>
        <v>4.4268889925643256E+64</v>
      </c>
    </row>
    <row r="1447" spans="1:13" x14ac:dyDescent="0.2">
      <c r="A1447" s="3">
        <f>StartYear+1445</f>
        <v>3470</v>
      </c>
      <c r="B1447" s="4">
        <f>FacultyFTE*HoursPerWeek*WeeksPerYear*RatePerHour*(1+PracticeGrowth)^1445</f>
        <v>1.1965466737375245E+36</v>
      </c>
      <c r="C1447" s="4">
        <f>StudentsY1*(1+StudentGrowth)^1445*CreditsPerStudent*TuitionPerCredit</f>
        <v>7.478416710859527E+36</v>
      </c>
      <c r="D1447" s="4">
        <f>SimRevY1*(1+SimGrowth)^1445</f>
        <v>3.2463852612198982E+64</v>
      </c>
      <c r="E1447" s="4">
        <f>FacDevRevY1*(1+FacDevGrowth)^1445</f>
        <v>1.6231926306099491E+64</v>
      </c>
      <c r="F1447" s="4">
        <f t="shared" si="88"/>
        <v>4.8695778918298473E+64</v>
      </c>
      <c r="G1447" s="4">
        <f t="shared" si="89"/>
        <v>4.8695778918298473E+64</v>
      </c>
      <c r="H1447" s="4">
        <f>SalaryFTECount*SalaryPerFTE*(1+SalaryGrowth)^1445</f>
        <v>8.6177636991462367E+29</v>
      </c>
      <c r="I1447" s="4">
        <f>SimOpsY1*(1+SimOpsGrowth)^1445</f>
        <v>5.9490543054186368E+52</v>
      </c>
      <c r="J1447" s="4">
        <f>TrainDevY1*(1+TrainDevGrowth)^1445</f>
        <v>2.9745271527093184E+52</v>
      </c>
      <c r="K1447" s="4">
        <f>AdminY1*(1+AdminGrowth)^1445</f>
        <v>7.3791324088064902E+40</v>
      </c>
      <c r="L1447" s="4">
        <f t="shared" si="90"/>
        <v>8.923581458135334E+52</v>
      </c>
      <c r="M1447" s="4">
        <f t="shared" si="91"/>
        <v>4.869577891820924E+64</v>
      </c>
    </row>
    <row r="1448" spans="1:13" x14ac:dyDescent="0.2">
      <c r="A1448" s="3">
        <f>StartYear+1446</f>
        <v>3471</v>
      </c>
      <c r="B1448" s="4">
        <f>FacultyFTE*HoursPerWeek*WeeksPerYear*RatePerHour*(1+PracticeGrowth)^1446</f>
        <v>1.2563740074244004E+36</v>
      </c>
      <c r="C1448" s="4">
        <f>StudentsY1*(1+StudentGrowth)^1446*CreditsPerStudent*TuitionPerCredit</f>
        <v>7.8523375464025025E+36</v>
      </c>
      <c r="D1448" s="4">
        <f>SimRevY1*(1+SimGrowth)^1446</f>
        <v>3.5710237873418889E+64</v>
      </c>
      <c r="E1448" s="4">
        <f>FacDevRevY1*(1+FacDevGrowth)^1446</f>
        <v>1.7855118936709444E+64</v>
      </c>
      <c r="F1448" s="4">
        <f t="shared" si="88"/>
        <v>5.3565356810128339E+64</v>
      </c>
      <c r="G1448" s="4">
        <f t="shared" si="89"/>
        <v>5.3565356810128339E+64</v>
      </c>
      <c r="H1448" s="4">
        <f>SalaryFTECount*SalaryPerFTE*(1+SalaryGrowth)^1446</f>
        <v>8.9624742471120849E+29</v>
      </c>
      <c r="I1448" s="4">
        <f>SimOpsY1*(1+SimOpsGrowth)^1446</f>
        <v>6.4249786498521295E+52</v>
      </c>
      <c r="J1448" s="4">
        <f>TrainDevY1*(1+TrainDevGrowth)^1446</f>
        <v>3.2124893249260648E+52</v>
      </c>
      <c r="K1448" s="4">
        <f>AdminY1*(1+AdminGrowth)^1446</f>
        <v>7.8218803533348817E+40</v>
      </c>
      <c r="L1448" s="4">
        <f t="shared" si="90"/>
        <v>9.637467974786017E+52</v>
      </c>
      <c r="M1448" s="4">
        <f t="shared" si="91"/>
        <v>5.3565356810031962E+64</v>
      </c>
    </row>
    <row r="1449" spans="1:13" x14ac:dyDescent="0.2">
      <c r="A1449" s="3">
        <f>StartYear+1447</f>
        <v>3472</v>
      </c>
      <c r="B1449" s="4">
        <f>FacultyFTE*HoursPerWeek*WeeksPerYear*RatePerHour*(1+PracticeGrowth)^1447</f>
        <v>1.3191927077956207E+36</v>
      </c>
      <c r="C1449" s="4">
        <f>StudentsY1*(1+StudentGrowth)^1447*CreditsPerStudent*TuitionPerCredit</f>
        <v>8.2449544237226303E+36</v>
      </c>
      <c r="D1449" s="4">
        <f>SimRevY1*(1+SimGrowth)^1447</f>
        <v>3.9281261660760775E+64</v>
      </c>
      <c r="E1449" s="4">
        <f>FacDevRevY1*(1+FacDevGrowth)^1447</f>
        <v>1.9640630830380388E+64</v>
      </c>
      <c r="F1449" s="4">
        <f t="shared" si="88"/>
        <v>5.8921892491141166E+64</v>
      </c>
      <c r="G1449" s="4">
        <f t="shared" si="89"/>
        <v>5.8921892491141166E+64</v>
      </c>
      <c r="H1449" s="4">
        <f>SalaryFTECount*SalaryPerFTE*(1+SalaryGrowth)^1447</f>
        <v>9.3209732169965675E+29</v>
      </c>
      <c r="I1449" s="4">
        <f>SimOpsY1*(1+SimOpsGrowth)^1447</f>
        <v>6.9389769418402987E+52</v>
      </c>
      <c r="J1449" s="4">
        <f>TrainDevY1*(1+TrainDevGrowth)^1447</f>
        <v>3.4694884709201493E+52</v>
      </c>
      <c r="K1449" s="4">
        <f>AdminY1*(1+AdminGrowth)^1447</f>
        <v>8.2911931745349756E+40</v>
      </c>
      <c r="L1449" s="4">
        <f t="shared" si="90"/>
        <v>1.040846541276874E+53</v>
      </c>
      <c r="M1449" s="4">
        <f t="shared" si="91"/>
        <v>5.8921892491037083E+64</v>
      </c>
    </row>
    <row r="1450" spans="1:13" x14ac:dyDescent="0.2">
      <c r="A1450" s="3">
        <f>StartYear+1448</f>
        <v>3473</v>
      </c>
      <c r="B1450" s="4">
        <f>FacultyFTE*HoursPerWeek*WeeksPerYear*RatePerHour*(1+PracticeGrowth)^1448</f>
        <v>1.3851523431854015E+36</v>
      </c>
      <c r="C1450" s="4">
        <f>StudentsY1*(1+StudentGrowth)^1448*CreditsPerStudent*TuitionPerCredit</f>
        <v>8.6572021449087606E+36</v>
      </c>
      <c r="D1450" s="4">
        <f>SimRevY1*(1+SimGrowth)^1448</f>
        <v>4.3209387826836851E+64</v>
      </c>
      <c r="E1450" s="4">
        <f>FacDevRevY1*(1+FacDevGrowth)^1448</f>
        <v>2.1604693913418426E+64</v>
      </c>
      <c r="F1450" s="4">
        <f t="shared" si="88"/>
        <v>6.4814081740255271E+64</v>
      </c>
      <c r="G1450" s="4">
        <f t="shared" si="89"/>
        <v>6.4814081740255271E+64</v>
      </c>
      <c r="H1450" s="4">
        <f>SalaryFTECount*SalaryPerFTE*(1+SalaryGrowth)^1448</f>
        <v>9.6938121456764336E+29</v>
      </c>
      <c r="I1450" s="4">
        <f>SimOpsY1*(1+SimOpsGrowth)^1448</f>
        <v>7.4940950971875241E+52</v>
      </c>
      <c r="J1450" s="4">
        <f>TrainDevY1*(1+TrainDevGrowth)^1448</f>
        <v>3.747047548593762E+52</v>
      </c>
      <c r="K1450" s="4">
        <f>AdminY1*(1+AdminGrowth)^1448</f>
        <v>8.788664765007071E+40</v>
      </c>
      <c r="L1450" s="4">
        <f t="shared" si="90"/>
        <v>1.1241142645790074E+53</v>
      </c>
      <c r="M1450" s="4">
        <f t="shared" si="91"/>
        <v>6.4814081740142864E+64</v>
      </c>
    </row>
    <row r="1451" spans="1:13" x14ac:dyDescent="0.2">
      <c r="A1451" s="3">
        <f>StartYear+1449</f>
        <v>3474</v>
      </c>
      <c r="B1451" s="4">
        <f>FacultyFTE*HoursPerWeek*WeeksPerYear*RatePerHour*(1+PracticeGrowth)^1449</f>
        <v>1.4544099603446719E+36</v>
      </c>
      <c r="C1451" s="4">
        <f>StudentsY1*(1+StudentGrowth)^1449*CreditsPerStudent*TuitionPerCredit</f>
        <v>9.0900622521541988E+36</v>
      </c>
      <c r="D1451" s="4">
        <f>SimRevY1*(1+SimGrowth)^1449</f>
        <v>4.7530326609520543E+64</v>
      </c>
      <c r="E1451" s="4">
        <f>FacDevRevY1*(1+FacDevGrowth)^1449</f>
        <v>2.3765163304760272E+64</v>
      </c>
      <c r="F1451" s="4">
        <f t="shared" si="88"/>
        <v>7.1295489914280812E+64</v>
      </c>
      <c r="G1451" s="4">
        <f t="shared" si="89"/>
        <v>7.1295489914280812E+64</v>
      </c>
      <c r="H1451" s="4">
        <f>SalaryFTECount*SalaryPerFTE*(1+SalaryGrowth)^1449</f>
        <v>1.008156463150349E+30</v>
      </c>
      <c r="I1451" s="4">
        <f>SimOpsY1*(1+SimOpsGrowth)^1449</f>
        <v>8.093622704962525E+52</v>
      </c>
      <c r="J1451" s="4">
        <f>TrainDevY1*(1+TrainDevGrowth)^1449</f>
        <v>4.0468113524812625E+52</v>
      </c>
      <c r="K1451" s="4">
        <f>AdminY1*(1+AdminGrowth)^1449</f>
        <v>9.3159846509074972E+40</v>
      </c>
      <c r="L1451" s="4">
        <f t="shared" si="90"/>
        <v>1.2140434057453103E+53</v>
      </c>
      <c r="M1451" s="4">
        <f t="shared" si="91"/>
        <v>7.1295489914159402E+64</v>
      </c>
    </row>
    <row r="1452" spans="1:13" x14ac:dyDescent="0.2">
      <c r="A1452" s="3">
        <f>StartYear+1450</f>
        <v>3475</v>
      </c>
      <c r="B1452" s="4">
        <f>FacultyFTE*HoursPerWeek*WeeksPerYear*RatePerHour*(1+PracticeGrowth)^1450</f>
        <v>1.5271304583619053E+36</v>
      </c>
      <c r="C1452" s="4">
        <f>StudentsY1*(1+StudentGrowth)^1450*CreditsPerStudent*TuitionPerCredit</f>
        <v>9.5445653647619079E+36</v>
      </c>
      <c r="D1452" s="4">
        <f>SimRevY1*(1+SimGrowth)^1450</f>
        <v>5.2283359270472596E+64</v>
      </c>
      <c r="E1452" s="4">
        <f>FacDevRevY1*(1+FacDevGrowth)^1450</f>
        <v>2.6141679635236298E+64</v>
      </c>
      <c r="F1452" s="4">
        <f t="shared" si="88"/>
        <v>7.8425038905708891E+64</v>
      </c>
      <c r="G1452" s="4">
        <f t="shared" si="89"/>
        <v>7.8425038905708891E+64</v>
      </c>
      <c r="H1452" s="4">
        <f>SalaryFTECount*SalaryPerFTE*(1+SalaryGrowth)^1450</f>
        <v>1.0484827216763629E+30</v>
      </c>
      <c r="I1452" s="4">
        <f>SimOpsY1*(1+SimOpsGrowth)^1450</f>
        <v>8.7411125213595262E+52</v>
      </c>
      <c r="J1452" s="4">
        <f>TrainDevY1*(1+TrainDevGrowth)^1450</f>
        <v>4.3705562606797631E+52</v>
      </c>
      <c r="K1452" s="4">
        <f>AdminY1*(1+AdminGrowth)^1450</f>
        <v>9.8749437299619489E+40</v>
      </c>
      <c r="L1452" s="4">
        <f t="shared" si="90"/>
        <v>1.3111668782049164E+53</v>
      </c>
      <c r="M1452" s="4">
        <f t="shared" si="91"/>
        <v>7.8425038905577776E+64</v>
      </c>
    </row>
    <row r="1453" spans="1:13" x14ac:dyDescent="0.2">
      <c r="A1453" s="3">
        <f>StartYear+1451</f>
        <v>3476</v>
      </c>
      <c r="B1453" s="4">
        <f>FacultyFTE*HoursPerWeek*WeeksPerYear*RatePerHour*(1+PracticeGrowth)^1451</f>
        <v>1.6034869812800009E+36</v>
      </c>
      <c r="C1453" s="4">
        <f>StudentsY1*(1+StudentGrowth)^1451*CreditsPerStudent*TuitionPerCredit</f>
        <v>1.0021793633000005E+37</v>
      </c>
      <c r="D1453" s="4">
        <f>SimRevY1*(1+SimGrowth)^1451</f>
        <v>5.7511695197519855E+64</v>
      </c>
      <c r="E1453" s="4">
        <f>FacDevRevY1*(1+FacDevGrowth)^1451</f>
        <v>2.8755847598759927E+64</v>
      </c>
      <c r="F1453" s="4">
        <f t="shared" si="88"/>
        <v>8.6267542796279782E+64</v>
      </c>
      <c r="G1453" s="4">
        <f t="shared" si="89"/>
        <v>8.6267542796279782E+64</v>
      </c>
      <c r="H1453" s="4">
        <f>SalaryFTECount*SalaryPerFTE*(1+SalaryGrowth)^1451</f>
        <v>1.0904220305434176E+30</v>
      </c>
      <c r="I1453" s="4">
        <f>SimOpsY1*(1+SimOpsGrowth)^1451</f>
        <v>9.440401523068291E+52</v>
      </c>
      <c r="J1453" s="4">
        <f>TrainDevY1*(1+TrainDevGrowth)^1451</f>
        <v>4.7202007615341455E+52</v>
      </c>
      <c r="K1453" s="4">
        <f>AdminY1*(1+AdminGrowth)^1451</f>
        <v>1.0467440353759666E+41</v>
      </c>
      <c r="L1453" s="4">
        <f t="shared" si="90"/>
        <v>1.4160602284612904E+53</v>
      </c>
      <c r="M1453" s="4">
        <f t="shared" si="91"/>
        <v>8.626754279613818E+64</v>
      </c>
    </row>
    <row r="1454" spans="1:13" x14ac:dyDescent="0.2">
      <c r="A1454" s="3">
        <f>StartYear+1452</f>
        <v>3477</v>
      </c>
      <c r="B1454" s="4">
        <f>FacultyFTE*HoursPerWeek*WeeksPerYear*RatePerHour*(1+PracticeGrowth)^1452</f>
        <v>1.6836613303440006E+36</v>
      </c>
      <c r="C1454" s="4">
        <f>StudentsY1*(1+StudentGrowth)^1452*CreditsPerStudent*TuitionPerCredit</f>
        <v>1.0522883314650004E+37</v>
      </c>
      <c r="D1454" s="4">
        <f>SimRevY1*(1+SimGrowth)^1452</f>
        <v>6.3262864717271857E+64</v>
      </c>
      <c r="E1454" s="4">
        <f>FacDevRevY1*(1+FacDevGrowth)^1452</f>
        <v>3.1631432358635928E+64</v>
      </c>
      <c r="F1454" s="4">
        <f t="shared" si="88"/>
        <v>9.4894297075907791E+64</v>
      </c>
      <c r="G1454" s="4">
        <f t="shared" si="89"/>
        <v>9.4894297075907791E+64</v>
      </c>
      <c r="H1454" s="4">
        <f>SalaryFTECount*SalaryPerFTE*(1+SalaryGrowth)^1452</f>
        <v>1.1340389117651543E+30</v>
      </c>
      <c r="I1454" s="4">
        <f>SimOpsY1*(1+SimOpsGrowth)^1452</f>
        <v>1.0195633644913753E+53</v>
      </c>
      <c r="J1454" s="4">
        <f>TrainDevY1*(1+TrainDevGrowth)^1452</f>
        <v>5.0978168224568765E+52</v>
      </c>
      <c r="K1454" s="4">
        <f>AdminY1*(1+AdminGrowth)^1452</f>
        <v>1.1095486774985244E+41</v>
      </c>
      <c r="L1454" s="4">
        <f t="shared" si="90"/>
        <v>1.5293450467381725E+53</v>
      </c>
      <c r="M1454" s="4">
        <f t="shared" si="91"/>
        <v>9.4894297075754859E+64</v>
      </c>
    </row>
    <row r="1455" spans="1:13" x14ac:dyDescent="0.2">
      <c r="A1455" s="3">
        <f>StartYear+1453</f>
        <v>3478</v>
      </c>
      <c r="B1455" s="4">
        <f>FacultyFTE*HoursPerWeek*WeeksPerYear*RatePerHour*(1+PracticeGrowth)^1453</f>
        <v>1.7678443968612009E+36</v>
      </c>
      <c r="C1455" s="4">
        <f>StudentsY1*(1+StudentGrowth)^1453*CreditsPerStudent*TuitionPerCredit</f>
        <v>1.1049027480382506E+37</v>
      </c>
      <c r="D1455" s="4">
        <f>SimRevY1*(1+SimGrowth)^1453</f>
        <v>6.9589151188999055E+64</v>
      </c>
      <c r="E1455" s="4">
        <f>FacDevRevY1*(1+FacDevGrowth)^1453</f>
        <v>3.4794575594499528E+64</v>
      </c>
      <c r="F1455" s="4">
        <f t="shared" si="88"/>
        <v>1.0438372678349859E+65</v>
      </c>
      <c r="G1455" s="4">
        <f t="shared" si="89"/>
        <v>1.0438372678349859E+65</v>
      </c>
      <c r="H1455" s="4">
        <f>SalaryFTECount*SalaryPerFTE*(1+SalaryGrowth)^1453</f>
        <v>1.1794004682357606E+30</v>
      </c>
      <c r="I1455" s="4">
        <f>SimOpsY1*(1+SimOpsGrowth)^1453</f>
        <v>1.1011284336506852E+53</v>
      </c>
      <c r="J1455" s="4">
        <f>TrainDevY1*(1+TrainDevGrowth)^1453</f>
        <v>5.5056421682534261E+52</v>
      </c>
      <c r="K1455" s="4">
        <f>AdminY1*(1+AdminGrowth)^1453</f>
        <v>1.176121598148436E+41</v>
      </c>
      <c r="L1455" s="4">
        <f t="shared" si="90"/>
        <v>1.6516926504772039E+53</v>
      </c>
      <c r="M1455" s="4">
        <f t="shared" si="91"/>
        <v>1.0438372678333342E+65</v>
      </c>
    </row>
    <row r="1456" spans="1:13" x14ac:dyDescent="0.2">
      <c r="A1456" s="3">
        <f>StartYear+1454</f>
        <v>3479</v>
      </c>
      <c r="B1456" s="4">
        <f>FacultyFTE*HoursPerWeek*WeeksPerYear*RatePerHour*(1+PracticeGrowth)^1454</f>
        <v>1.8562366167042607E+36</v>
      </c>
      <c r="C1456" s="4">
        <f>StudentsY1*(1+StudentGrowth)^1454*CreditsPerStudent*TuitionPerCredit</f>
        <v>1.1601478854401629E+37</v>
      </c>
      <c r="D1456" s="4">
        <f>SimRevY1*(1+SimGrowth)^1454</f>
        <v>7.6548066307898955E+64</v>
      </c>
      <c r="E1456" s="4">
        <f>FacDevRevY1*(1+FacDevGrowth)^1454</f>
        <v>3.8274033153949477E+64</v>
      </c>
      <c r="F1456" s="4">
        <f t="shared" si="88"/>
        <v>1.1482209946184843E+65</v>
      </c>
      <c r="G1456" s="4">
        <f t="shared" si="89"/>
        <v>1.1482209946184843E+65</v>
      </c>
      <c r="H1456" s="4">
        <f>SalaryFTECount*SalaryPerFTE*(1+SalaryGrowth)^1454</f>
        <v>1.2265764869651912E+30</v>
      </c>
      <c r="I1456" s="4">
        <f>SimOpsY1*(1+SimOpsGrowth)^1454</f>
        <v>1.1892187083427403E+53</v>
      </c>
      <c r="J1456" s="4">
        <f>TrainDevY1*(1+TrainDevGrowth)^1454</f>
        <v>5.9460935417137014E+52</v>
      </c>
      <c r="K1456" s="4">
        <f>AdminY1*(1+AdminGrowth)^1454</f>
        <v>1.2466888940373423E+41</v>
      </c>
      <c r="L1456" s="4">
        <f t="shared" si="90"/>
        <v>1.783828062515357E+53</v>
      </c>
      <c r="M1456" s="4">
        <f t="shared" si="91"/>
        <v>1.1482209946167005E+65</v>
      </c>
    </row>
    <row r="1457" spans="1:13" x14ac:dyDescent="0.2">
      <c r="A1457" s="3">
        <f>StartYear+1455</f>
        <v>3480</v>
      </c>
      <c r="B1457" s="4">
        <f>FacultyFTE*HoursPerWeek*WeeksPerYear*RatePerHour*(1+PracticeGrowth)^1455</f>
        <v>1.949048447539474E+36</v>
      </c>
      <c r="C1457" s="4">
        <f>StudentsY1*(1+StudentGrowth)^1455*CreditsPerStudent*TuitionPerCredit</f>
        <v>1.2181552797121712E+37</v>
      </c>
      <c r="D1457" s="4">
        <f>SimRevY1*(1+SimGrowth)^1455</f>
        <v>8.4202872938688861E+64</v>
      </c>
      <c r="E1457" s="4">
        <f>FacDevRevY1*(1+FacDevGrowth)^1455</f>
        <v>4.210143646934443E+64</v>
      </c>
      <c r="F1457" s="4">
        <f t="shared" si="88"/>
        <v>1.2630430940803329E+65</v>
      </c>
      <c r="G1457" s="4">
        <f t="shared" si="89"/>
        <v>1.2630430940803329E+65</v>
      </c>
      <c r="H1457" s="4">
        <f>SalaryFTECount*SalaryPerFTE*(1+SalaryGrowth)^1455</f>
        <v>1.2756395464437988E+30</v>
      </c>
      <c r="I1457" s="4">
        <f>SimOpsY1*(1+SimOpsGrowth)^1455</f>
        <v>1.2843562050101597E+53</v>
      </c>
      <c r="J1457" s="4">
        <f>TrainDevY1*(1+TrainDevGrowth)^1455</f>
        <v>6.4217810250507986E+52</v>
      </c>
      <c r="K1457" s="4">
        <f>AdminY1*(1+AdminGrowth)^1455</f>
        <v>1.3214902276795835E+41</v>
      </c>
      <c r="L1457" s="4">
        <f t="shared" si="90"/>
        <v>1.9265343075165614E+53</v>
      </c>
      <c r="M1457" s="4">
        <f t="shared" si="91"/>
        <v>1.2630430940784062E+65</v>
      </c>
    </row>
    <row r="1458" spans="1:13" x14ac:dyDescent="0.2">
      <c r="A1458" s="3">
        <f>StartYear+1456</f>
        <v>3481</v>
      </c>
      <c r="B1458" s="4">
        <f>FacultyFTE*HoursPerWeek*WeeksPerYear*RatePerHour*(1+PracticeGrowth)^1456</f>
        <v>2.0465008699164478E+36</v>
      </c>
      <c r="C1458" s="4">
        <f>StudentsY1*(1+StudentGrowth)^1456*CreditsPerStudent*TuitionPerCredit</f>
        <v>1.2790630436977798E+37</v>
      </c>
      <c r="D1458" s="4">
        <f>SimRevY1*(1+SimGrowth)^1456</f>
        <v>9.2623160232557734E+64</v>
      </c>
      <c r="E1458" s="4">
        <f>FacDevRevY1*(1+FacDevGrowth)^1456</f>
        <v>4.6311580116278867E+64</v>
      </c>
      <c r="F1458" s="4">
        <f t="shared" si="88"/>
        <v>1.3893474034883661E+65</v>
      </c>
      <c r="G1458" s="4">
        <f t="shared" si="89"/>
        <v>1.3893474034883661E+65</v>
      </c>
      <c r="H1458" s="4">
        <f>SalaryFTECount*SalaryPerFTE*(1+SalaryGrowth)^1456</f>
        <v>1.3266651283015508E+30</v>
      </c>
      <c r="I1458" s="4">
        <f>SimOpsY1*(1+SimOpsGrowth)^1456</f>
        <v>1.3871047014109724E+53</v>
      </c>
      <c r="J1458" s="4">
        <f>TrainDevY1*(1+TrainDevGrowth)^1456</f>
        <v>6.9355235070548622E+52</v>
      </c>
      <c r="K1458" s="4">
        <f>AdminY1*(1+AdminGrowth)^1456</f>
        <v>1.4007796413403579E+41</v>
      </c>
      <c r="L1458" s="4">
        <f t="shared" si="90"/>
        <v>2.0806570521178593E+53</v>
      </c>
      <c r="M1458" s="4">
        <f t="shared" si="91"/>
        <v>1.3893474034862854E+65</v>
      </c>
    </row>
    <row r="1459" spans="1:13" x14ac:dyDescent="0.2">
      <c r="A1459" s="3">
        <f>StartYear+1457</f>
        <v>3482</v>
      </c>
      <c r="B1459" s="4">
        <f>FacultyFTE*HoursPerWeek*WeeksPerYear*RatePerHour*(1+PracticeGrowth)^1457</f>
        <v>2.1488259134122705E+36</v>
      </c>
      <c r="C1459" s="4">
        <f>StudentsY1*(1+StudentGrowth)^1457*CreditsPerStudent*TuitionPerCredit</f>
        <v>1.3430161958826692E+37</v>
      </c>
      <c r="D1459" s="4">
        <f>SimRevY1*(1+SimGrowth)^1457</f>
        <v>1.0188547625581354E+65</v>
      </c>
      <c r="E1459" s="4">
        <f>FacDevRevY1*(1+FacDevGrowth)^1457</f>
        <v>5.0942738127906768E+64</v>
      </c>
      <c r="F1459" s="4">
        <f t="shared" si="88"/>
        <v>1.528282143837203E+65</v>
      </c>
      <c r="G1459" s="4">
        <f t="shared" si="89"/>
        <v>1.528282143837203E+65</v>
      </c>
      <c r="H1459" s="4">
        <f>SalaryFTECount*SalaryPerFTE*(1+SalaryGrowth)^1457</f>
        <v>1.3797317334336126E+30</v>
      </c>
      <c r="I1459" s="4">
        <f>SimOpsY1*(1+SimOpsGrowth)^1457</f>
        <v>1.4980730775238505E+53</v>
      </c>
      <c r="J1459" s="4">
        <f>TrainDevY1*(1+TrainDevGrowth)^1457</f>
        <v>7.4903653876192524E+52</v>
      </c>
      <c r="K1459" s="4">
        <f>AdminY1*(1+AdminGrowth)^1457</f>
        <v>1.4848264198207796E+41</v>
      </c>
      <c r="L1459" s="4">
        <f t="shared" si="90"/>
        <v>2.2471096162872606E+53</v>
      </c>
      <c r="M1459" s="4">
        <f t="shared" si="91"/>
        <v>1.5282821438349558E+65</v>
      </c>
    </row>
    <row r="1460" spans="1:13" x14ac:dyDescent="0.2">
      <c r="A1460" s="3">
        <f>StartYear+1458</f>
        <v>3483</v>
      </c>
      <c r="B1460" s="4">
        <f>FacultyFTE*HoursPerWeek*WeeksPerYear*RatePerHour*(1+PracticeGrowth)^1458</f>
        <v>2.2562672090828841E+36</v>
      </c>
      <c r="C1460" s="4">
        <f>StudentsY1*(1+StudentGrowth)^1458*CreditsPerStudent*TuitionPerCredit</f>
        <v>1.4101670056768026E+37</v>
      </c>
      <c r="D1460" s="4">
        <f>SimRevY1*(1+SimGrowth)^1458</f>
        <v>1.1207402388139488E+65</v>
      </c>
      <c r="E1460" s="4">
        <f>FacDevRevY1*(1+FacDevGrowth)^1458</f>
        <v>5.6037011940697438E+64</v>
      </c>
      <c r="F1460" s="4">
        <f t="shared" si="88"/>
        <v>1.681110358220923E+65</v>
      </c>
      <c r="G1460" s="4">
        <f t="shared" si="89"/>
        <v>1.681110358220923E+65</v>
      </c>
      <c r="H1460" s="4">
        <f>SalaryFTECount*SalaryPerFTE*(1+SalaryGrowth)^1458</f>
        <v>1.4349210027709574E+30</v>
      </c>
      <c r="I1460" s="4">
        <f>SimOpsY1*(1+SimOpsGrowth)^1458</f>
        <v>1.6179189237257586E+53</v>
      </c>
      <c r="J1460" s="4">
        <f>TrainDevY1*(1+TrainDevGrowth)^1458</f>
        <v>8.0895946186287932E+52</v>
      </c>
      <c r="K1460" s="4">
        <f>AdminY1*(1+AdminGrowth)^1458</f>
        <v>1.5739160050100262E+41</v>
      </c>
      <c r="L1460" s="4">
        <f t="shared" si="90"/>
        <v>2.4268783855902117E+53</v>
      </c>
      <c r="M1460" s="4">
        <f t="shared" si="91"/>
        <v>1.6811103582184962E+65</v>
      </c>
    </row>
    <row r="1461" spans="1:13" x14ac:dyDescent="0.2">
      <c r="A1461" s="3">
        <f>StartYear+1459</f>
        <v>3484</v>
      </c>
      <c r="B1461" s="4">
        <f>FacultyFTE*HoursPerWeek*WeeksPerYear*RatePerHour*(1+PracticeGrowth)^1459</f>
        <v>2.3690805695370283E+36</v>
      </c>
      <c r="C1461" s="4">
        <f>StudentsY1*(1+StudentGrowth)^1459*CreditsPerStudent*TuitionPerCredit</f>
        <v>1.4806753559606426E+37</v>
      </c>
      <c r="D1461" s="4">
        <f>SimRevY1*(1+SimGrowth)^1459</f>
        <v>1.232814262695344E+65</v>
      </c>
      <c r="E1461" s="4">
        <f>FacDevRevY1*(1+FacDevGrowth)^1459</f>
        <v>6.1640713134767199E+64</v>
      </c>
      <c r="F1461" s="4">
        <f t="shared" si="88"/>
        <v>1.849221394043016E+65</v>
      </c>
      <c r="G1461" s="4">
        <f t="shared" si="89"/>
        <v>1.849221394043016E+65</v>
      </c>
      <c r="H1461" s="4">
        <f>SalaryFTECount*SalaryPerFTE*(1+SalaryGrowth)^1459</f>
        <v>1.4923178428817962E+30</v>
      </c>
      <c r="I1461" s="4">
        <f>SimOpsY1*(1+SimOpsGrowth)^1459</f>
        <v>1.7473524376238194E+53</v>
      </c>
      <c r="J1461" s="4">
        <f>TrainDevY1*(1+TrainDevGrowth)^1459</f>
        <v>8.7367621881190972E+52</v>
      </c>
      <c r="K1461" s="4">
        <f>AdminY1*(1+AdminGrowth)^1459</f>
        <v>1.6683509653106282E+41</v>
      </c>
      <c r="L1461" s="4">
        <f t="shared" si="90"/>
        <v>2.6210286564373975E+53</v>
      </c>
      <c r="M1461" s="4">
        <f t="shared" si="91"/>
        <v>1.8492213940403949E+65</v>
      </c>
    </row>
    <row r="1462" spans="1:13" x14ac:dyDescent="0.2">
      <c r="A1462" s="3">
        <f>StartYear+1460</f>
        <v>3485</v>
      </c>
      <c r="B1462" s="4">
        <f>FacultyFTE*HoursPerWeek*WeeksPerYear*RatePerHour*(1+PracticeGrowth)^1460</f>
        <v>2.4875345980138794E+36</v>
      </c>
      <c r="C1462" s="4">
        <f>StudentsY1*(1+StudentGrowth)^1460*CreditsPerStudent*TuitionPerCredit</f>
        <v>1.5547091237586747E+37</v>
      </c>
      <c r="D1462" s="4">
        <f>SimRevY1*(1+SimGrowth)^1460</f>
        <v>1.3560956889648783E+65</v>
      </c>
      <c r="E1462" s="4">
        <f>FacDevRevY1*(1+FacDevGrowth)^1460</f>
        <v>6.7804784448243917E+64</v>
      </c>
      <c r="F1462" s="4">
        <f t="shared" si="88"/>
        <v>2.0341435334473174E+65</v>
      </c>
      <c r="G1462" s="4">
        <f t="shared" si="89"/>
        <v>2.0341435334473174E+65</v>
      </c>
      <c r="H1462" s="4">
        <f>SalaryFTECount*SalaryPerFTE*(1+SalaryGrowth)^1460</f>
        <v>1.5520105565970679E+30</v>
      </c>
      <c r="I1462" s="4">
        <f>SimOpsY1*(1+SimOpsGrowth)^1460</f>
        <v>1.8871406326337248E+53</v>
      </c>
      <c r="J1462" s="4">
        <f>TrainDevY1*(1+TrainDevGrowth)^1460</f>
        <v>9.4357031631686238E+52</v>
      </c>
      <c r="K1462" s="4">
        <f>AdminY1*(1+AdminGrowth)^1460</f>
        <v>1.7684520232292655E+41</v>
      </c>
      <c r="L1462" s="4">
        <f t="shared" si="90"/>
        <v>2.8307109489523559E+53</v>
      </c>
      <c r="M1462" s="4">
        <f t="shared" si="91"/>
        <v>2.0341435334444868E+65</v>
      </c>
    </row>
    <row r="1463" spans="1:13" x14ac:dyDescent="0.2">
      <c r="A1463" s="3">
        <f>StartYear+1461</f>
        <v>3486</v>
      </c>
      <c r="B1463" s="4">
        <f>FacultyFTE*HoursPerWeek*WeeksPerYear*RatePerHour*(1+PracticeGrowth)^1461</f>
        <v>2.6119113279145732E+36</v>
      </c>
      <c r="C1463" s="4">
        <f>StudentsY1*(1+StudentGrowth)^1461*CreditsPerStudent*TuitionPerCredit</f>
        <v>1.6324445799466081E+37</v>
      </c>
      <c r="D1463" s="4">
        <f>SimRevY1*(1+SimGrowth)^1461</f>
        <v>1.4917052578613663E+65</v>
      </c>
      <c r="E1463" s="4">
        <f>FacDevRevY1*(1+FacDevGrowth)^1461</f>
        <v>7.4585262893068317E+64</v>
      </c>
      <c r="F1463" s="4">
        <f t="shared" si="88"/>
        <v>2.2375578867920493E+65</v>
      </c>
      <c r="G1463" s="4">
        <f t="shared" si="89"/>
        <v>2.2375578867920493E+65</v>
      </c>
      <c r="H1463" s="4">
        <f>SalaryFTECount*SalaryPerFTE*(1+SalaryGrowth)^1461</f>
        <v>1.6140909788609505E+30</v>
      </c>
      <c r="I1463" s="4">
        <f>SimOpsY1*(1+SimOpsGrowth)^1461</f>
        <v>2.0381118832444227E+53</v>
      </c>
      <c r="J1463" s="4">
        <f>TrainDevY1*(1+TrainDevGrowth)^1461</f>
        <v>1.0190559416222114E+53</v>
      </c>
      <c r="K1463" s="4">
        <f>AdminY1*(1+AdminGrowth)^1461</f>
        <v>1.8745591446230225E+41</v>
      </c>
      <c r="L1463" s="4">
        <f t="shared" si="90"/>
        <v>3.0571678248685088E+53</v>
      </c>
      <c r="M1463" s="4">
        <f t="shared" si="91"/>
        <v>2.237557886788992E+65</v>
      </c>
    </row>
    <row r="1464" spans="1:13" x14ac:dyDescent="0.2">
      <c r="A1464" s="3">
        <f>StartYear+1462</f>
        <v>3487</v>
      </c>
      <c r="B1464" s="4">
        <f>FacultyFTE*HoursPerWeek*WeeksPerYear*RatePerHour*(1+PracticeGrowth)^1462</f>
        <v>2.7425068943103019E+36</v>
      </c>
      <c r="C1464" s="4">
        <f>StudentsY1*(1+StudentGrowth)^1462*CreditsPerStudent*TuitionPerCredit</f>
        <v>1.7140668089439388E+37</v>
      </c>
      <c r="D1464" s="4">
        <f>SimRevY1*(1+SimGrowth)^1462</f>
        <v>1.6408757836475029E+65</v>
      </c>
      <c r="E1464" s="4">
        <f>FacDevRevY1*(1+FacDevGrowth)^1462</f>
        <v>8.2043789182375146E+64</v>
      </c>
      <c r="F1464" s="4">
        <f t="shared" si="88"/>
        <v>2.4613136754712544E+65</v>
      </c>
      <c r="G1464" s="4">
        <f t="shared" si="89"/>
        <v>2.4613136754712544E+65</v>
      </c>
      <c r="H1464" s="4">
        <f>SalaryFTECount*SalaryPerFTE*(1+SalaryGrowth)^1462</f>
        <v>1.6786546180153886E+30</v>
      </c>
      <c r="I1464" s="4">
        <f>SimOpsY1*(1+SimOpsGrowth)^1462</f>
        <v>2.201160833903977E+53</v>
      </c>
      <c r="J1464" s="4">
        <f>TrainDevY1*(1+TrainDevGrowth)^1462</f>
        <v>1.1005804169519885E+53</v>
      </c>
      <c r="K1464" s="4">
        <f>AdminY1*(1+AdminGrowth)^1462</f>
        <v>1.9870326933004033E+41</v>
      </c>
      <c r="L1464" s="4">
        <f t="shared" si="90"/>
        <v>3.3017412508579526E+53</v>
      </c>
      <c r="M1464" s="4">
        <f t="shared" si="91"/>
        <v>2.4613136754679526E+65</v>
      </c>
    </row>
    <row r="1465" spans="1:13" x14ac:dyDescent="0.2">
      <c r="A1465" s="3">
        <f>StartYear+1463</f>
        <v>3488</v>
      </c>
      <c r="B1465" s="4">
        <f>FacultyFTE*HoursPerWeek*WeeksPerYear*RatePerHour*(1+PracticeGrowth)^1463</f>
        <v>2.8796322390258174E+36</v>
      </c>
      <c r="C1465" s="4">
        <f>StudentsY1*(1+StudentGrowth)^1463*CreditsPerStudent*TuitionPerCredit</f>
        <v>1.7997701493911361E+37</v>
      </c>
      <c r="D1465" s="4">
        <f>SimRevY1*(1+SimGrowth)^1463</f>
        <v>1.8049633620122533E+65</v>
      </c>
      <c r="E1465" s="4">
        <f>FacDevRevY1*(1+FacDevGrowth)^1463</f>
        <v>9.0248168100612666E+64</v>
      </c>
      <c r="F1465" s="4">
        <f t="shared" si="88"/>
        <v>2.70744504301838E+65</v>
      </c>
      <c r="G1465" s="4">
        <f t="shared" si="89"/>
        <v>2.70744504301838E+65</v>
      </c>
      <c r="H1465" s="4">
        <f>SalaryFTECount*SalaryPerFTE*(1+SalaryGrowth)^1463</f>
        <v>1.7458008027360042E+30</v>
      </c>
      <c r="I1465" s="4">
        <f>SimOpsY1*(1+SimOpsGrowth)^1463</f>
        <v>2.3772537006162952E+53</v>
      </c>
      <c r="J1465" s="4">
        <f>TrainDevY1*(1+TrainDevGrowth)^1463</f>
        <v>1.1886268503081476E+53</v>
      </c>
      <c r="K1465" s="4">
        <f>AdminY1*(1+AdminGrowth)^1463</f>
        <v>2.1062546548984279E+41</v>
      </c>
      <c r="L1465" s="4">
        <f t="shared" si="90"/>
        <v>3.5658805509265493E+53</v>
      </c>
      <c r="M1465" s="4">
        <f t="shared" si="91"/>
        <v>2.7074450430148139E+65</v>
      </c>
    </row>
    <row r="1466" spans="1:13" x14ac:dyDescent="0.2">
      <c r="A1466" s="3">
        <f>StartYear+1464</f>
        <v>3489</v>
      </c>
      <c r="B1466" s="4">
        <f>FacultyFTE*HoursPerWeek*WeeksPerYear*RatePerHour*(1+PracticeGrowth)^1464</f>
        <v>3.0236138509771078E+36</v>
      </c>
      <c r="C1466" s="4">
        <f>StudentsY1*(1+StudentGrowth)^1464*CreditsPerStudent*TuitionPerCredit</f>
        <v>1.8897586568606923E+37</v>
      </c>
      <c r="D1466" s="4">
        <f>SimRevY1*(1+SimGrowth)^1464</f>
        <v>1.9854596982134783E+65</v>
      </c>
      <c r="E1466" s="4">
        <f>FacDevRevY1*(1+FacDevGrowth)^1464</f>
        <v>9.9272984910673916E+64</v>
      </c>
      <c r="F1466" s="4">
        <f t="shared" si="88"/>
        <v>2.9781895473202176E+65</v>
      </c>
      <c r="G1466" s="4">
        <f t="shared" si="89"/>
        <v>2.9781895473202176E+65</v>
      </c>
      <c r="H1466" s="4">
        <f>SalaryFTECount*SalaryPerFTE*(1+SalaryGrowth)^1464</f>
        <v>1.8156328348454444E+30</v>
      </c>
      <c r="I1466" s="4">
        <f>SimOpsY1*(1+SimOpsGrowth)^1464</f>
        <v>2.5674339966655987E+53</v>
      </c>
      <c r="J1466" s="4">
        <f>TrainDevY1*(1+TrainDevGrowth)^1464</f>
        <v>1.2837169983327993E+53</v>
      </c>
      <c r="K1466" s="4">
        <f>AdminY1*(1+AdminGrowth)^1464</f>
        <v>2.2326299341923335E+41</v>
      </c>
      <c r="L1466" s="4">
        <f t="shared" si="90"/>
        <v>3.8511509950006299E+53</v>
      </c>
      <c r="M1466" s="4">
        <f t="shared" si="91"/>
        <v>2.9781895473163662E+65</v>
      </c>
    </row>
    <row r="1467" spans="1:13" x14ac:dyDescent="0.2">
      <c r="A1467" s="3">
        <f>StartYear+1465</f>
        <v>3490</v>
      </c>
      <c r="B1467" s="4">
        <f>FacultyFTE*HoursPerWeek*WeeksPerYear*RatePerHour*(1+PracticeGrowth)^1465</f>
        <v>3.1747945435259635E+36</v>
      </c>
      <c r="C1467" s="4">
        <f>StudentsY1*(1+StudentGrowth)^1465*CreditsPerStudent*TuitionPerCredit</f>
        <v>1.9842465897037273E+37</v>
      </c>
      <c r="D1467" s="4">
        <f>SimRevY1*(1+SimGrowth)^1465</f>
        <v>2.1840056680348269E+65</v>
      </c>
      <c r="E1467" s="4">
        <f>FacDevRevY1*(1+FacDevGrowth)^1465</f>
        <v>1.0920028340174135E+65</v>
      </c>
      <c r="F1467" s="4">
        <f t="shared" si="88"/>
        <v>3.2760085020522406E+65</v>
      </c>
      <c r="G1467" s="4">
        <f t="shared" si="89"/>
        <v>3.2760085020522406E+65</v>
      </c>
      <c r="H1467" s="4">
        <f>SalaryFTECount*SalaryPerFTE*(1+SalaryGrowth)^1465</f>
        <v>1.8882581482392628E+30</v>
      </c>
      <c r="I1467" s="4">
        <f>SimOpsY1*(1+SimOpsGrowth)^1465</f>
        <v>2.7728287163988471E+53</v>
      </c>
      <c r="J1467" s="4">
        <f>TrainDevY1*(1+TrainDevGrowth)^1465</f>
        <v>1.3864143581994235E+53</v>
      </c>
      <c r="K1467" s="4">
        <f>AdminY1*(1+AdminGrowth)^1465</f>
        <v>2.3665877302438735E+41</v>
      </c>
      <c r="L1467" s="4">
        <f t="shared" si="90"/>
        <v>4.1592430746006371E+53</v>
      </c>
      <c r="M1467" s="4">
        <f t="shared" si="91"/>
        <v>3.2760085020480815E+65</v>
      </c>
    </row>
    <row r="1468" spans="1:13" x14ac:dyDescent="0.2">
      <c r="A1468" s="3">
        <f>StartYear+1466</f>
        <v>3491</v>
      </c>
      <c r="B1468" s="4">
        <f>FacultyFTE*HoursPerWeek*WeeksPerYear*RatePerHour*(1+PracticeGrowth)^1466</f>
        <v>3.3335342707022624E+36</v>
      </c>
      <c r="C1468" s="4">
        <f>StudentsY1*(1+StudentGrowth)^1466*CreditsPerStudent*TuitionPerCredit</f>
        <v>2.083458919188914E+37</v>
      </c>
      <c r="D1468" s="4">
        <f>SimRevY1*(1+SimGrowth)^1466</f>
        <v>2.4024062348383099E+65</v>
      </c>
      <c r="E1468" s="4">
        <f>FacDevRevY1*(1+FacDevGrowth)^1466</f>
        <v>1.201203117419155E+65</v>
      </c>
      <c r="F1468" s="4">
        <f t="shared" si="88"/>
        <v>3.6036093522574647E+65</v>
      </c>
      <c r="G1468" s="4">
        <f t="shared" si="89"/>
        <v>3.6036093522574647E+65</v>
      </c>
      <c r="H1468" s="4">
        <f>SalaryFTECount*SalaryPerFTE*(1+SalaryGrowth)^1466</f>
        <v>1.9637884741688327E+30</v>
      </c>
      <c r="I1468" s="4">
        <f>SimOpsY1*(1+SimOpsGrowth)^1466</f>
        <v>2.9946550137107546E+53</v>
      </c>
      <c r="J1468" s="4">
        <f>TrainDevY1*(1+TrainDevGrowth)^1466</f>
        <v>1.4973275068553773E+53</v>
      </c>
      <c r="K1468" s="4">
        <f>AdminY1*(1+AdminGrowth)^1466</f>
        <v>2.5085829940585054E+41</v>
      </c>
      <c r="L1468" s="4">
        <f t="shared" si="90"/>
        <v>4.4919825205686407E+53</v>
      </c>
      <c r="M1468" s="4">
        <f t="shared" si="91"/>
        <v>3.6036093522529726E+65</v>
      </c>
    </row>
    <row r="1469" spans="1:13" x14ac:dyDescent="0.2">
      <c r="A1469" s="3">
        <f>StartYear+1467</f>
        <v>3492</v>
      </c>
      <c r="B1469" s="4">
        <f>FacultyFTE*HoursPerWeek*WeeksPerYear*RatePerHour*(1+PracticeGrowth)^1467</f>
        <v>3.5002109842373754E+36</v>
      </c>
      <c r="C1469" s="4">
        <f>StudentsY1*(1+StudentGrowth)^1467*CreditsPerStudent*TuitionPerCredit</f>
        <v>2.1876318651483597E+37</v>
      </c>
      <c r="D1469" s="4">
        <f>SimRevY1*(1+SimGrowth)^1467</f>
        <v>2.6426468583221414E+65</v>
      </c>
      <c r="E1469" s="4">
        <f>FacDevRevY1*(1+FacDevGrowth)^1467</f>
        <v>1.3213234291610707E+65</v>
      </c>
      <c r="F1469" s="4">
        <f t="shared" si="88"/>
        <v>3.9639702874832122E+65</v>
      </c>
      <c r="G1469" s="4">
        <f t="shared" si="89"/>
        <v>3.9639702874832122E+65</v>
      </c>
      <c r="H1469" s="4">
        <f>SalaryFTECount*SalaryPerFTE*(1+SalaryGrowth)^1467</f>
        <v>2.0423400131355862E+30</v>
      </c>
      <c r="I1469" s="4">
        <f>SimOpsY1*(1+SimOpsGrowth)^1467</f>
        <v>3.2342274148076154E+53</v>
      </c>
      <c r="J1469" s="4">
        <f>TrainDevY1*(1+TrainDevGrowth)^1467</f>
        <v>1.6171137074038077E+53</v>
      </c>
      <c r="K1469" s="4">
        <f>AdminY1*(1+AdminGrowth)^1467</f>
        <v>2.6590979737020166E+41</v>
      </c>
      <c r="L1469" s="4">
        <f t="shared" si="90"/>
        <v>4.8513411222140819E+53</v>
      </c>
      <c r="M1469" s="4">
        <f t="shared" si="91"/>
        <v>3.9639702874783609E+65</v>
      </c>
    </row>
    <row r="1470" spans="1:13" x14ac:dyDescent="0.2">
      <c r="A1470" s="3">
        <f>StartYear+1468</f>
        <v>3493</v>
      </c>
      <c r="B1470" s="4">
        <f>FacultyFTE*HoursPerWeek*WeeksPerYear*RatePerHour*(1+PracticeGrowth)^1468</f>
        <v>3.6752215334492436E+36</v>
      </c>
      <c r="C1470" s="4">
        <f>StudentsY1*(1+StudentGrowth)^1468*CreditsPerStudent*TuitionPerCredit</f>
        <v>2.2970134584057769E+37</v>
      </c>
      <c r="D1470" s="4">
        <f>SimRevY1*(1+SimGrowth)^1468</f>
        <v>2.9069115441543549E+65</v>
      </c>
      <c r="E1470" s="4">
        <f>FacDevRevY1*(1+FacDevGrowth)^1468</f>
        <v>1.4534557720771775E+65</v>
      </c>
      <c r="F1470" s="4">
        <f t="shared" si="88"/>
        <v>4.3603673162315326E+65</v>
      </c>
      <c r="G1470" s="4">
        <f t="shared" si="89"/>
        <v>4.3603673162315326E+65</v>
      </c>
      <c r="H1470" s="4">
        <f>SalaryFTECount*SalaryPerFTE*(1+SalaryGrowth)^1468</f>
        <v>2.1240336136610101E+30</v>
      </c>
      <c r="I1470" s="4">
        <f>SimOpsY1*(1+SimOpsGrowth)^1468</f>
        <v>3.4929656079922243E+53</v>
      </c>
      <c r="J1470" s="4">
        <f>TrainDevY1*(1+TrainDevGrowth)^1468</f>
        <v>1.7464828039961122E+53</v>
      </c>
      <c r="K1470" s="4">
        <f>AdminY1*(1+AdminGrowth)^1468</f>
        <v>2.8186438521241381E+41</v>
      </c>
      <c r="L1470" s="4">
        <f t="shared" si="90"/>
        <v>5.2394484119911551E+53</v>
      </c>
      <c r="M1470" s="4">
        <f t="shared" si="91"/>
        <v>4.3603673162262927E+65</v>
      </c>
    </row>
    <row r="1471" spans="1:13" x14ac:dyDescent="0.2">
      <c r="A1471" s="3">
        <f>StartYear+1469</f>
        <v>3494</v>
      </c>
      <c r="B1471" s="4">
        <f>FacultyFTE*HoursPerWeek*WeeksPerYear*RatePerHour*(1+PracticeGrowth)^1469</f>
        <v>3.8589826101217057E+36</v>
      </c>
      <c r="C1471" s="4">
        <f>StudentsY1*(1+StudentGrowth)^1469*CreditsPerStudent*TuitionPerCredit</f>
        <v>2.4118641313260663E+37</v>
      </c>
      <c r="D1471" s="4">
        <f>SimRevY1*(1+SimGrowth)^1469</f>
        <v>3.197602698569791E+65</v>
      </c>
      <c r="E1471" s="4">
        <f>FacDevRevY1*(1+FacDevGrowth)^1469</f>
        <v>1.5988013492848955E+65</v>
      </c>
      <c r="F1471" s="4">
        <f t="shared" si="88"/>
        <v>4.7964040478546866E+65</v>
      </c>
      <c r="G1471" s="4">
        <f t="shared" si="89"/>
        <v>4.7964040478546866E+65</v>
      </c>
      <c r="H1471" s="4">
        <f>SalaryFTECount*SalaryPerFTE*(1+SalaryGrowth)^1469</f>
        <v>2.208994958207451E+30</v>
      </c>
      <c r="I1471" s="4">
        <f>SimOpsY1*(1+SimOpsGrowth)^1469</f>
        <v>3.7724028566316021E+53</v>
      </c>
      <c r="J1471" s="4">
        <f>TrainDevY1*(1+TrainDevGrowth)^1469</f>
        <v>1.886201428315801E+53</v>
      </c>
      <c r="K1471" s="4">
        <f>AdminY1*(1+AdminGrowth)^1469</f>
        <v>2.9877624832515863E+41</v>
      </c>
      <c r="L1471" s="4">
        <f t="shared" si="90"/>
        <v>5.6586042849503908E+53</v>
      </c>
      <c r="M1471" s="4">
        <f t="shared" si="91"/>
        <v>4.7964040478490276E+65</v>
      </c>
    </row>
    <row r="1472" spans="1:13" x14ac:dyDescent="0.2">
      <c r="A1472" s="3">
        <f>StartYear+1470</f>
        <v>3495</v>
      </c>
      <c r="B1472" s="4">
        <f>FacultyFTE*HoursPerWeek*WeeksPerYear*RatePerHour*(1+PracticeGrowth)^1470</f>
        <v>4.0519317406277909E+36</v>
      </c>
      <c r="C1472" s="4">
        <f>StudentsY1*(1+StudentGrowth)^1470*CreditsPerStudent*TuitionPerCredit</f>
        <v>2.5324573378923689E+37</v>
      </c>
      <c r="D1472" s="4">
        <f>SimRevY1*(1+SimGrowth)^1470</f>
        <v>3.5173629684267707E+65</v>
      </c>
      <c r="E1472" s="4">
        <f>FacDevRevY1*(1+FacDevGrowth)^1470</f>
        <v>1.7586814842133854E+65</v>
      </c>
      <c r="F1472" s="4">
        <f t="shared" si="88"/>
        <v>5.2760444526401565E+65</v>
      </c>
      <c r="G1472" s="4">
        <f t="shared" si="89"/>
        <v>5.2760444526401565E+65</v>
      </c>
      <c r="H1472" s="4">
        <f>SalaryFTECount*SalaryPerFTE*(1+SalaryGrowth)^1470</f>
        <v>2.2973547565357487E+30</v>
      </c>
      <c r="I1472" s="4">
        <f>SimOpsY1*(1+SimOpsGrowth)^1470</f>
        <v>4.0741950851621314E+53</v>
      </c>
      <c r="J1472" s="4">
        <f>TrainDevY1*(1+TrainDevGrowth)^1470</f>
        <v>2.0370975425810657E+53</v>
      </c>
      <c r="K1472" s="4">
        <f>AdminY1*(1+AdminGrowth)^1470</f>
        <v>3.1670282322466819E+41</v>
      </c>
      <c r="L1472" s="4">
        <f t="shared" si="90"/>
        <v>6.1112926277463643E+53</v>
      </c>
      <c r="M1472" s="4">
        <f t="shared" si="91"/>
        <v>5.2760444526340449E+65</v>
      </c>
    </row>
    <row r="1473" spans="1:13" x14ac:dyDescent="0.2">
      <c r="A1473" s="3">
        <f>StartYear+1471</f>
        <v>3496</v>
      </c>
      <c r="B1473" s="4">
        <f>FacultyFTE*HoursPerWeek*WeeksPerYear*RatePerHour*(1+PracticeGrowth)^1471</f>
        <v>4.2545283276591808E+36</v>
      </c>
      <c r="C1473" s="4">
        <f>StudentsY1*(1+StudentGrowth)^1471*CreditsPerStudent*TuitionPerCredit</f>
        <v>2.6590802047869883E+37</v>
      </c>
      <c r="D1473" s="4">
        <f>SimRevY1*(1+SimGrowth)^1471</f>
        <v>3.8690992652694477E+65</v>
      </c>
      <c r="E1473" s="4">
        <f>FacDevRevY1*(1+FacDevGrowth)^1471</f>
        <v>1.9345496326347238E+65</v>
      </c>
      <c r="F1473" s="4">
        <f t="shared" si="88"/>
        <v>5.803648897904172E+65</v>
      </c>
      <c r="G1473" s="4">
        <f t="shared" si="89"/>
        <v>5.803648897904172E+65</v>
      </c>
      <c r="H1473" s="4">
        <f>SalaryFTECount*SalaryPerFTE*(1+SalaryGrowth)^1471</f>
        <v>2.3892489467971781E+30</v>
      </c>
      <c r="I1473" s="4">
        <f>SimOpsY1*(1+SimOpsGrowth)^1471</f>
        <v>4.4001306919751035E+53</v>
      </c>
      <c r="J1473" s="4">
        <f>TrainDevY1*(1+TrainDevGrowth)^1471</f>
        <v>2.2000653459875517E+53</v>
      </c>
      <c r="K1473" s="4">
        <f>AdminY1*(1+AdminGrowth)^1471</f>
        <v>3.3570499261814837E+41</v>
      </c>
      <c r="L1473" s="4">
        <f t="shared" si="90"/>
        <v>6.6001960379660126E+53</v>
      </c>
      <c r="M1473" s="4">
        <f t="shared" si="91"/>
        <v>5.8036488978975721E+65</v>
      </c>
    </row>
    <row r="1474" spans="1:13" x14ac:dyDescent="0.2">
      <c r="A1474" s="3">
        <f>StartYear+1472</f>
        <v>3497</v>
      </c>
      <c r="B1474" s="4">
        <f>FacultyFTE*HoursPerWeek*WeeksPerYear*RatePerHour*(1+PracticeGrowth)^1472</f>
        <v>4.4672547440421395E+36</v>
      </c>
      <c r="C1474" s="4">
        <f>StudentsY1*(1+StudentGrowth)^1472*CreditsPerStudent*TuitionPerCredit</f>
        <v>2.7920342150263375E+37</v>
      </c>
      <c r="D1474" s="4">
        <f>SimRevY1*(1+SimGrowth)^1472</f>
        <v>4.2560091917963925E+65</v>
      </c>
      <c r="E1474" s="4">
        <f>FacDevRevY1*(1+FacDevGrowth)^1472</f>
        <v>2.1280045958981963E+65</v>
      </c>
      <c r="F1474" s="4">
        <f t="shared" ref="F1474:F1537" si="92">C1474+D1474+E1474</f>
        <v>6.3840137876945888E+65</v>
      </c>
      <c r="G1474" s="4">
        <f t="shared" ref="G1474:G1537" si="93">B1474+F1474</f>
        <v>6.3840137876945888E+65</v>
      </c>
      <c r="H1474" s="4">
        <f>SalaryFTECount*SalaryPerFTE*(1+SalaryGrowth)^1472</f>
        <v>2.4848189046690655E+30</v>
      </c>
      <c r="I1474" s="4">
        <f>SimOpsY1*(1+SimOpsGrowth)^1472</f>
        <v>4.7521411473331111E+53</v>
      </c>
      <c r="J1474" s="4">
        <f>TrainDevY1*(1+TrainDevGrowth)^1472</f>
        <v>2.3760705736665556E+53</v>
      </c>
      <c r="K1474" s="4">
        <f>AdminY1*(1+AdminGrowth)^1472</f>
        <v>3.5584729217523709E+41</v>
      </c>
      <c r="L1474" s="4">
        <f t="shared" ref="L1474:L1537" si="94">SUM(H1474:K1474)</f>
        <v>7.1282117210032252E+53</v>
      </c>
      <c r="M1474" s="4">
        <f t="shared" ref="M1474:M1537" si="95">G1474-L1474</f>
        <v>6.3840137876874604E+65</v>
      </c>
    </row>
    <row r="1475" spans="1:13" x14ac:dyDescent="0.2">
      <c r="A1475" s="3">
        <f>StartYear+1473</f>
        <v>3498</v>
      </c>
      <c r="B1475" s="4">
        <f>FacultyFTE*HoursPerWeek*WeeksPerYear*RatePerHour*(1+PracticeGrowth)^1473</f>
        <v>4.6906174812442477E+36</v>
      </c>
      <c r="C1475" s="4">
        <f>StudentsY1*(1+StudentGrowth)^1473*CreditsPerStudent*TuitionPerCredit</f>
        <v>2.931635925777655E+37</v>
      </c>
      <c r="D1475" s="4">
        <f>SimRevY1*(1+SimGrowth)^1473</f>
        <v>4.6816101109760316E+65</v>
      </c>
      <c r="E1475" s="4">
        <f>FacDevRevY1*(1+FacDevGrowth)^1473</f>
        <v>2.3408050554880158E+65</v>
      </c>
      <c r="F1475" s="4">
        <f t="shared" si="92"/>
        <v>7.0224151664640474E+65</v>
      </c>
      <c r="G1475" s="4">
        <f t="shared" si="93"/>
        <v>7.0224151664640474E+65</v>
      </c>
      <c r="H1475" s="4">
        <f>SalaryFTECount*SalaryPerFTE*(1+SalaryGrowth)^1473</f>
        <v>2.5842116608558288E+30</v>
      </c>
      <c r="I1475" s="4">
        <f>SimOpsY1*(1+SimOpsGrowth)^1473</f>
        <v>5.1323124391197606E+53</v>
      </c>
      <c r="J1475" s="4">
        <f>TrainDevY1*(1+TrainDevGrowth)^1473</f>
        <v>2.5661562195598803E+53</v>
      </c>
      <c r="K1475" s="4">
        <f>AdminY1*(1+AdminGrowth)^1473</f>
        <v>3.7719812970575134E+41</v>
      </c>
      <c r="L1475" s="4">
        <f t="shared" si="94"/>
        <v>7.6984686586834138E+53</v>
      </c>
      <c r="M1475" s="4">
        <f t="shared" si="95"/>
        <v>7.0224151664563494E+65</v>
      </c>
    </row>
    <row r="1476" spans="1:13" x14ac:dyDescent="0.2">
      <c r="A1476" s="3">
        <f>StartYear+1474</f>
        <v>3499</v>
      </c>
      <c r="B1476" s="4">
        <f>FacultyFTE*HoursPerWeek*WeeksPerYear*RatePerHour*(1+PracticeGrowth)^1474</f>
        <v>4.9251483553064596E+36</v>
      </c>
      <c r="C1476" s="4">
        <f>StudentsY1*(1+StudentGrowth)^1474*CreditsPerStudent*TuitionPerCredit</f>
        <v>3.0782177220665375E+37</v>
      </c>
      <c r="D1476" s="4">
        <f>SimRevY1*(1+SimGrowth)^1474</f>
        <v>5.149771122073635E+65</v>
      </c>
      <c r="E1476" s="4">
        <f>FacDevRevY1*(1+FacDevGrowth)^1474</f>
        <v>2.5748855610368175E+65</v>
      </c>
      <c r="F1476" s="4">
        <f t="shared" si="92"/>
        <v>7.7246566831104524E+65</v>
      </c>
      <c r="G1476" s="4">
        <f t="shared" si="93"/>
        <v>7.7246566831104524E+65</v>
      </c>
      <c r="H1476" s="4">
        <f>SalaryFTECount*SalaryPerFTE*(1+SalaryGrowth)^1474</f>
        <v>2.6875801272900618E+30</v>
      </c>
      <c r="I1476" s="4">
        <f>SimOpsY1*(1+SimOpsGrowth)^1474</f>
        <v>5.5428974342493409E+53</v>
      </c>
      <c r="J1476" s="4">
        <f>TrainDevY1*(1+TrainDevGrowth)^1474</f>
        <v>2.7714487171246704E+53</v>
      </c>
      <c r="K1476" s="4">
        <f>AdminY1*(1+AdminGrowth)^1474</f>
        <v>3.9983001748809653E+41</v>
      </c>
      <c r="L1476" s="4">
        <f t="shared" si="94"/>
        <v>8.3143461513780096E+53</v>
      </c>
      <c r="M1476" s="4">
        <f t="shared" si="95"/>
        <v>7.724656683102138E+65</v>
      </c>
    </row>
    <row r="1477" spans="1:13" x14ac:dyDescent="0.2">
      <c r="A1477" s="3">
        <f>StartYear+1475</f>
        <v>3500</v>
      </c>
      <c r="B1477" s="4">
        <f>FacultyFTE*HoursPerWeek*WeeksPerYear*RatePerHour*(1+PracticeGrowth)^1475</f>
        <v>5.1714057730717832E+36</v>
      </c>
      <c r="C1477" s="4">
        <f>StudentsY1*(1+StudentGrowth)^1475*CreditsPerStudent*TuitionPerCredit</f>
        <v>3.2321286081698645E+37</v>
      </c>
      <c r="D1477" s="4">
        <f>SimRevY1*(1+SimGrowth)^1475</f>
        <v>5.6647482342810013E+65</v>
      </c>
      <c r="E1477" s="4">
        <f>FacDevRevY1*(1+FacDevGrowth)^1475</f>
        <v>2.8323741171405006E+65</v>
      </c>
      <c r="F1477" s="4">
        <f t="shared" si="92"/>
        <v>8.4971223514215014E+65</v>
      </c>
      <c r="G1477" s="4">
        <f t="shared" si="93"/>
        <v>8.4971223514215014E+65</v>
      </c>
      <c r="H1477" s="4">
        <f>SalaryFTECount*SalaryPerFTE*(1+SalaryGrowth)^1475</f>
        <v>2.7950833323816643E+30</v>
      </c>
      <c r="I1477" s="4">
        <f>SimOpsY1*(1+SimOpsGrowth)^1475</f>
        <v>5.9863292289892889E+53</v>
      </c>
      <c r="J1477" s="4">
        <f>TrainDevY1*(1+TrainDevGrowth)^1475</f>
        <v>2.9931646144946444E+53</v>
      </c>
      <c r="K1477" s="4">
        <f>AdminY1*(1+AdminGrowth)^1475</f>
        <v>4.2381981853738227E+41</v>
      </c>
      <c r="L1477" s="4">
        <f t="shared" si="94"/>
        <v>8.9794938434881719E+53</v>
      </c>
      <c r="M1477" s="4">
        <f t="shared" si="95"/>
        <v>8.4971223514125219E+65</v>
      </c>
    </row>
    <row r="1478" spans="1:13" x14ac:dyDescent="0.2">
      <c r="A1478" s="3">
        <f>StartYear+1476</f>
        <v>3501</v>
      </c>
      <c r="B1478" s="4">
        <f>FacultyFTE*HoursPerWeek*WeeksPerYear*RatePerHour*(1+PracticeGrowth)^1476</f>
        <v>5.4299760617253714E+36</v>
      </c>
      <c r="C1478" s="4">
        <f>StudentsY1*(1+StudentGrowth)^1476*CreditsPerStudent*TuitionPerCredit</f>
        <v>3.3937350385783575E+37</v>
      </c>
      <c r="D1478" s="4">
        <f>SimRevY1*(1+SimGrowth)^1476</f>
        <v>6.2312230577091E+65</v>
      </c>
      <c r="E1478" s="4">
        <f>FacDevRevY1*(1+FacDevGrowth)^1476</f>
        <v>3.11561152885455E+65</v>
      </c>
      <c r="F1478" s="4">
        <f t="shared" si="92"/>
        <v>9.3468345865636495E+65</v>
      </c>
      <c r="G1478" s="4">
        <f t="shared" si="93"/>
        <v>9.3468345865636495E+65</v>
      </c>
      <c r="H1478" s="4">
        <f>SalaryFTECount*SalaryPerFTE*(1+SalaryGrowth)^1476</f>
        <v>2.9068866656769306E+30</v>
      </c>
      <c r="I1478" s="4">
        <f>SimOpsY1*(1+SimOpsGrowth)^1476</f>
        <v>6.465235567308432E+53</v>
      </c>
      <c r="J1478" s="4">
        <f>TrainDevY1*(1+TrainDevGrowth)^1476</f>
        <v>3.232617783654216E+53</v>
      </c>
      <c r="K1478" s="4">
        <f>AdminY1*(1+AdminGrowth)^1476</f>
        <v>4.4924900764962533E+41</v>
      </c>
      <c r="L1478" s="4">
        <f t="shared" si="94"/>
        <v>9.6978533509671402E+53</v>
      </c>
      <c r="M1478" s="4">
        <f t="shared" si="95"/>
        <v>9.3468345865539517E+65</v>
      </c>
    </row>
    <row r="1479" spans="1:13" x14ac:dyDescent="0.2">
      <c r="A1479" s="3">
        <f>StartYear+1477</f>
        <v>3502</v>
      </c>
      <c r="B1479" s="4">
        <f>FacultyFTE*HoursPerWeek*WeeksPerYear*RatePerHour*(1+PracticeGrowth)^1477</f>
        <v>5.70147486481164E+36</v>
      </c>
      <c r="C1479" s="4">
        <f>StudentsY1*(1+StudentGrowth)^1477*CreditsPerStudent*TuitionPerCredit</f>
        <v>3.5634217905072751E+37</v>
      </c>
      <c r="D1479" s="4">
        <f>SimRevY1*(1+SimGrowth)^1477</f>
        <v>6.8543453634800112E+65</v>
      </c>
      <c r="E1479" s="4">
        <f>FacDevRevY1*(1+FacDevGrowth)^1477</f>
        <v>3.4271726817400056E+65</v>
      </c>
      <c r="F1479" s="4">
        <f t="shared" si="92"/>
        <v>1.0281518045220016E+66</v>
      </c>
      <c r="G1479" s="4">
        <f t="shared" si="93"/>
        <v>1.0281518045220016E+66</v>
      </c>
      <c r="H1479" s="4">
        <f>SalaryFTECount*SalaryPerFTE*(1+SalaryGrowth)^1477</f>
        <v>3.0231621323040083E+30</v>
      </c>
      <c r="I1479" s="4">
        <f>SimOpsY1*(1+SimOpsGrowth)^1477</f>
        <v>6.9824544126931073E+53</v>
      </c>
      <c r="J1479" s="4">
        <f>TrainDevY1*(1+TrainDevGrowth)^1477</f>
        <v>3.4912272063465537E+53</v>
      </c>
      <c r="K1479" s="4">
        <f>AdminY1*(1+AdminGrowth)^1477</f>
        <v>4.7620394810860275E+41</v>
      </c>
      <c r="L1479" s="4">
        <f t="shared" si="94"/>
        <v>1.0473681619044424E+54</v>
      </c>
      <c r="M1479" s="4">
        <f t="shared" si="95"/>
        <v>1.0281518045209542E+66</v>
      </c>
    </row>
    <row r="1480" spans="1:13" x14ac:dyDescent="0.2">
      <c r="A1480" s="3">
        <f>StartYear+1478</f>
        <v>3503</v>
      </c>
      <c r="B1480" s="4">
        <f>FacultyFTE*HoursPerWeek*WeeksPerYear*RatePerHour*(1+PracticeGrowth)^1478</f>
        <v>5.9865486080522222E+36</v>
      </c>
      <c r="C1480" s="4">
        <f>StudentsY1*(1+StudentGrowth)^1478*CreditsPerStudent*TuitionPerCredit</f>
        <v>3.741592880032639E+37</v>
      </c>
      <c r="D1480" s="4">
        <f>SimRevY1*(1+SimGrowth)^1478</f>
        <v>7.5397798998280118E+65</v>
      </c>
      <c r="E1480" s="4">
        <f>FacDevRevY1*(1+FacDevGrowth)^1478</f>
        <v>3.7698899499140059E+65</v>
      </c>
      <c r="F1480" s="4">
        <f t="shared" si="92"/>
        <v>1.1309669849742018E+66</v>
      </c>
      <c r="G1480" s="4">
        <f t="shared" si="93"/>
        <v>1.1309669849742018E+66</v>
      </c>
      <c r="H1480" s="4">
        <f>SalaryFTECount*SalaryPerFTE*(1+SalaryGrowth)^1478</f>
        <v>3.1440886175961693E+30</v>
      </c>
      <c r="I1480" s="4">
        <f>SimOpsY1*(1+SimOpsGrowth)^1478</f>
        <v>7.5410507657085567E+53</v>
      </c>
      <c r="J1480" s="4">
        <f>TrainDevY1*(1+TrainDevGrowth)^1478</f>
        <v>3.7705253828542784E+53</v>
      </c>
      <c r="K1480" s="4">
        <f>AdminY1*(1+AdminGrowth)^1478</f>
        <v>5.0477618499511899E+41</v>
      </c>
      <c r="L1480" s="4">
        <f t="shared" si="94"/>
        <v>1.1311576148567882E+54</v>
      </c>
      <c r="M1480" s="4">
        <f t="shared" si="95"/>
        <v>1.1309669849730706E+66</v>
      </c>
    </row>
    <row r="1481" spans="1:13" x14ac:dyDescent="0.2">
      <c r="A1481" s="3">
        <f>StartYear+1479</f>
        <v>3504</v>
      </c>
      <c r="B1481" s="4">
        <f>FacultyFTE*HoursPerWeek*WeeksPerYear*RatePerHour*(1+PracticeGrowth)^1479</f>
        <v>6.2858760384548343E+36</v>
      </c>
      <c r="C1481" s="4">
        <f>StudentsY1*(1+StudentGrowth)^1479*CreditsPerStudent*TuitionPerCredit</f>
        <v>3.9286725240342719E+37</v>
      </c>
      <c r="D1481" s="4">
        <f>SimRevY1*(1+SimGrowth)^1479</f>
        <v>8.2937578898108156E+65</v>
      </c>
      <c r="E1481" s="4">
        <f>FacDevRevY1*(1+FacDevGrowth)^1479</f>
        <v>4.1468789449054078E+65</v>
      </c>
      <c r="F1481" s="4">
        <f t="shared" si="92"/>
        <v>1.2440636834716224E+66</v>
      </c>
      <c r="G1481" s="4">
        <f t="shared" si="93"/>
        <v>1.2440636834716224E+66</v>
      </c>
      <c r="H1481" s="4">
        <f>SalaryFTECount*SalaryPerFTE*(1+SalaryGrowth)^1479</f>
        <v>3.2698521623000153E+30</v>
      </c>
      <c r="I1481" s="4">
        <f>SimOpsY1*(1+SimOpsGrowth)^1479</f>
        <v>8.1443348269652417E+53</v>
      </c>
      <c r="J1481" s="4">
        <f>TrainDevY1*(1+TrainDevGrowth)^1479</f>
        <v>4.0721674134826208E+53</v>
      </c>
      <c r="K1481" s="4">
        <f>AdminY1*(1+AdminGrowth)^1479</f>
        <v>5.3506275609482634E+41</v>
      </c>
      <c r="L1481" s="4">
        <f t="shared" si="94"/>
        <v>1.2216502240453213E+54</v>
      </c>
      <c r="M1481" s="4">
        <f t="shared" si="95"/>
        <v>1.2440636834704009E+66</v>
      </c>
    </row>
    <row r="1482" spans="1:13" x14ac:dyDescent="0.2">
      <c r="A1482" s="3">
        <f>StartYear+1480</f>
        <v>3505</v>
      </c>
      <c r="B1482" s="4">
        <f>FacultyFTE*HoursPerWeek*WeeksPerYear*RatePerHour*(1+PracticeGrowth)^1480</f>
        <v>6.6001698403775769E+36</v>
      </c>
      <c r="C1482" s="4">
        <f>StudentsY1*(1+StudentGrowth)^1480*CreditsPerStudent*TuitionPerCredit</f>
        <v>4.1251061502359852E+37</v>
      </c>
      <c r="D1482" s="4">
        <f>SimRevY1*(1+SimGrowth)^1480</f>
        <v>9.1231336787918966E+65</v>
      </c>
      <c r="E1482" s="4">
        <f>FacDevRevY1*(1+FacDevGrowth)^1480</f>
        <v>4.5615668393959483E+65</v>
      </c>
      <c r="F1482" s="4">
        <f t="shared" si="92"/>
        <v>1.3684700518187845E+66</v>
      </c>
      <c r="G1482" s="4">
        <f t="shared" si="93"/>
        <v>1.3684700518187845E+66</v>
      </c>
      <c r="H1482" s="4">
        <f>SalaryFTECount*SalaryPerFTE*(1+SalaryGrowth)^1480</f>
        <v>3.4006462487920164E+30</v>
      </c>
      <c r="I1482" s="4">
        <f>SimOpsY1*(1+SimOpsGrowth)^1480</f>
        <v>8.7958816131224607E+53</v>
      </c>
      <c r="J1482" s="4">
        <f>TrainDevY1*(1+TrainDevGrowth)^1480</f>
        <v>4.3979408065612304E+53</v>
      </c>
      <c r="K1482" s="4">
        <f>AdminY1*(1+AdminGrowth)^1480</f>
        <v>5.6716652146051578E+41</v>
      </c>
      <c r="L1482" s="4">
        <f t="shared" si="94"/>
        <v>1.3193822419689364E+54</v>
      </c>
      <c r="M1482" s="4">
        <f t="shared" si="95"/>
        <v>1.3684700518174651E+66</v>
      </c>
    </row>
    <row r="1483" spans="1:13" x14ac:dyDescent="0.2">
      <c r="A1483" s="3">
        <f>StartYear+1481</f>
        <v>3506</v>
      </c>
      <c r="B1483" s="4">
        <f>FacultyFTE*HoursPerWeek*WeeksPerYear*RatePerHour*(1+PracticeGrowth)^1481</f>
        <v>6.9301783323964543E+36</v>
      </c>
      <c r="C1483" s="4">
        <f>StudentsY1*(1+StudentGrowth)^1481*CreditsPerStudent*TuitionPerCredit</f>
        <v>4.3313614577477848E+37</v>
      </c>
      <c r="D1483" s="4">
        <f>SimRevY1*(1+SimGrowth)^1481</f>
        <v>1.0035447046671087E+66</v>
      </c>
      <c r="E1483" s="4">
        <f>FacDevRevY1*(1+FacDevGrowth)^1481</f>
        <v>5.0177235233355437E+65</v>
      </c>
      <c r="F1483" s="4">
        <f t="shared" si="92"/>
        <v>1.5053170570006631E+66</v>
      </c>
      <c r="G1483" s="4">
        <f t="shared" si="93"/>
        <v>1.5053170570006631E+66</v>
      </c>
      <c r="H1483" s="4">
        <f>SalaryFTECount*SalaryPerFTE*(1+SalaryGrowth)^1481</f>
        <v>3.5366720987436975E+30</v>
      </c>
      <c r="I1483" s="4">
        <f>SimOpsY1*(1+SimOpsGrowth)^1481</f>
        <v>9.4995521421722605E+53</v>
      </c>
      <c r="J1483" s="4">
        <f>TrainDevY1*(1+TrainDevGrowth)^1481</f>
        <v>4.7497760710861302E+53</v>
      </c>
      <c r="K1483" s="4">
        <f>AdminY1*(1+AdminGrowth)^1481</f>
        <v>6.011965127481467E+41</v>
      </c>
      <c r="L1483" s="4">
        <f t="shared" si="94"/>
        <v>1.4249328213264404E+54</v>
      </c>
      <c r="M1483" s="4">
        <f t="shared" si="95"/>
        <v>1.5053170569992382E+66</v>
      </c>
    </row>
    <row r="1484" spans="1:13" x14ac:dyDescent="0.2">
      <c r="A1484" s="3">
        <f>StartYear+1482</f>
        <v>3507</v>
      </c>
      <c r="B1484" s="4">
        <f>FacultyFTE*HoursPerWeek*WeeksPerYear*RatePerHour*(1+PracticeGrowth)^1482</f>
        <v>7.2766872490162758E+36</v>
      </c>
      <c r="C1484" s="4">
        <f>StudentsY1*(1+StudentGrowth)^1482*CreditsPerStudent*TuitionPerCredit</f>
        <v>4.5479295306351723E+37</v>
      </c>
      <c r="D1484" s="4">
        <f>SimRevY1*(1+SimGrowth)^1482</f>
        <v>1.1038991751338197E+66</v>
      </c>
      <c r="E1484" s="4">
        <f>FacDevRevY1*(1+FacDevGrowth)^1482</f>
        <v>5.5194958756690985E+65</v>
      </c>
      <c r="F1484" s="4">
        <f t="shared" si="92"/>
        <v>1.6558487627007294E+66</v>
      </c>
      <c r="G1484" s="4">
        <f t="shared" si="93"/>
        <v>1.6558487627007294E+66</v>
      </c>
      <c r="H1484" s="4">
        <f>SalaryFTECount*SalaryPerFTE*(1+SalaryGrowth)^1482</f>
        <v>3.6781389826934458E+30</v>
      </c>
      <c r="I1484" s="4">
        <f>SimOpsY1*(1+SimOpsGrowth)^1482</f>
        <v>1.025951631354604E+54</v>
      </c>
      <c r="J1484" s="4">
        <f>TrainDevY1*(1+TrainDevGrowth)^1482</f>
        <v>5.1297581567730198E+53</v>
      </c>
      <c r="K1484" s="4">
        <f>AdminY1*(1+AdminGrowth)^1482</f>
        <v>6.3726830351303563E+41</v>
      </c>
      <c r="L1484" s="4">
        <f t="shared" si="94"/>
        <v>1.5389274470325432E+54</v>
      </c>
      <c r="M1484" s="4">
        <f t="shared" si="95"/>
        <v>1.6558487626991906E+66</v>
      </c>
    </row>
    <row r="1485" spans="1:13" x14ac:dyDescent="0.2">
      <c r="A1485" s="3">
        <f>StartYear+1483</f>
        <v>3508</v>
      </c>
      <c r="B1485" s="4">
        <f>FacultyFTE*HoursPerWeek*WeeksPerYear*RatePerHour*(1+PracticeGrowth)^1483</f>
        <v>7.6405216114670906E+36</v>
      </c>
      <c r="C1485" s="4">
        <f>StudentsY1*(1+StudentGrowth)^1483*CreditsPerStudent*TuitionPerCredit</f>
        <v>4.7753260071669313E+37</v>
      </c>
      <c r="D1485" s="4">
        <f>SimRevY1*(1+SimGrowth)^1483</f>
        <v>1.2142890926472016E+66</v>
      </c>
      <c r="E1485" s="4">
        <f>FacDevRevY1*(1+FacDevGrowth)^1483</f>
        <v>6.0714454632360078E+65</v>
      </c>
      <c r="F1485" s="4">
        <f t="shared" si="92"/>
        <v>1.8214336389708025E+66</v>
      </c>
      <c r="G1485" s="4">
        <f t="shared" si="93"/>
        <v>1.8214336389708025E+66</v>
      </c>
      <c r="H1485" s="4">
        <f>SalaryFTECount*SalaryPerFTE*(1+SalaryGrowth)^1483</f>
        <v>3.825264542001183E+30</v>
      </c>
      <c r="I1485" s="4">
        <f>SimOpsY1*(1+SimOpsGrowth)^1483</f>
        <v>1.1080277618629725E+54</v>
      </c>
      <c r="J1485" s="4">
        <f>TrainDevY1*(1+TrainDevGrowth)^1483</f>
        <v>5.5401388093148624E+53</v>
      </c>
      <c r="K1485" s="4">
        <f>AdminY1*(1+AdminGrowth)^1483</f>
        <v>6.7550440172381779E+41</v>
      </c>
      <c r="L1485" s="4">
        <f t="shared" si="94"/>
        <v>1.6620416427951341E+54</v>
      </c>
      <c r="M1485" s="4">
        <f t="shared" si="95"/>
        <v>1.8214336389691406E+66</v>
      </c>
    </row>
    <row r="1486" spans="1:13" x14ac:dyDescent="0.2">
      <c r="A1486" s="3">
        <f>StartYear+1484</f>
        <v>3509</v>
      </c>
      <c r="B1486" s="4">
        <f>FacultyFTE*HoursPerWeek*WeeksPerYear*RatePerHour*(1+PracticeGrowth)^1484</f>
        <v>8.0225476920404448E+36</v>
      </c>
      <c r="C1486" s="4">
        <f>StudentsY1*(1+StudentGrowth)^1484*CreditsPerStudent*TuitionPerCredit</f>
        <v>5.0140923075252781E+37</v>
      </c>
      <c r="D1486" s="4">
        <f>SimRevY1*(1+SimGrowth)^1484</f>
        <v>1.3357180019119216E+66</v>
      </c>
      <c r="E1486" s="4">
        <f>FacDevRevY1*(1+FacDevGrowth)^1484</f>
        <v>6.6785900095596081E+65</v>
      </c>
      <c r="F1486" s="4">
        <f t="shared" si="92"/>
        <v>2.0035770028678824E+66</v>
      </c>
      <c r="G1486" s="4">
        <f t="shared" si="93"/>
        <v>2.0035770028678824E+66</v>
      </c>
      <c r="H1486" s="4">
        <f>SalaryFTECount*SalaryPerFTE*(1+SalaryGrowth)^1484</f>
        <v>3.9782751236812304E+30</v>
      </c>
      <c r="I1486" s="4">
        <f>SimOpsY1*(1+SimOpsGrowth)^1484</f>
        <v>1.1966699828120101E+54</v>
      </c>
      <c r="J1486" s="4">
        <f>TrainDevY1*(1+TrainDevGrowth)^1484</f>
        <v>5.9833499140600507E+53</v>
      </c>
      <c r="K1486" s="4">
        <f>AdminY1*(1+AdminGrowth)^1484</f>
        <v>7.1603466582724692E+41</v>
      </c>
      <c r="L1486" s="4">
        <f t="shared" si="94"/>
        <v>1.7950049742187312E+54</v>
      </c>
      <c r="M1486" s="4">
        <f t="shared" si="95"/>
        <v>2.0035770028660873E+66</v>
      </c>
    </row>
    <row r="1487" spans="1:13" x14ac:dyDescent="0.2">
      <c r="A1487" s="3">
        <f>StartYear+1485</f>
        <v>3510</v>
      </c>
      <c r="B1487" s="4">
        <f>FacultyFTE*HoursPerWeek*WeeksPerYear*RatePerHour*(1+PracticeGrowth)^1485</f>
        <v>8.4236750766424692E+36</v>
      </c>
      <c r="C1487" s="4">
        <f>StudentsY1*(1+StudentGrowth)^1485*CreditsPerStudent*TuitionPerCredit</f>
        <v>5.2647969229015442E+37</v>
      </c>
      <c r="D1487" s="4">
        <f>SimRevY1*(1+SimGrowth)^1485</f>
        <v>1.469289802103114E+66</v>
      </c>
      <c r="E1487" s="4">
        <f>FacDevRevY1*(1+FacDevGrowth)^1485</f>
        <v>7.34644901051557E+65</v>
      </c>
      <c r="F1487" s="4">
        <f t="shared" si="92"/>
        <v>2.2039347031546712E+66</v>
      </c>
      <c r="G1487" s="4">
        <f t="shared" si="93"/>
        <v>2.2039347031546712E+66</v>
      </c>
      <c r="H1487" s="4">
        <f>SalaryFTECount*SalaryPerFTE*(1+SalaryGrowth)^1485</f>
        <v>4.1374061286284812E+30</v>
      </c>
      <c r="I1487" s="4">
        <f>SimOpsY1*(1+SimOpsGrowth)^1485</f>
        <v>1.2924035814369706E+54</v>
      </c>
      <c r="J1487" s="4">
        <f>TrainDevY1*(1+TrainDevGrowth)^1485</f>
        <v>6.4620179071848532E+53</v>
      </c>
      <c r="K1487" s="4">
        <f>AdminY1*(1+AdminGrowth)^1485</f>
        <v>7.589967457768818E+41</v>
      </c>
      <c r="L1487" s="4">
        <f t="shared" si="94"/>
        <v>1.9386053721562148E+54</v>
      </c>
      <c r="M1487" s="4">
        <f t="shared" si="95"/>
        <v>2.2039347031527327E+66</v>
      </c>
    </row>
    <row r="1488" spans="1:13" x14ac:dyDescent="0.2">
      <c r="A1488" s="3">
        <f>StartYear+1486</f>
        <v>3511</v>
      </c>
      <c r="B1488" s="4">
        <f>FacultyFTE*HoursPerWeek*WeeksPerYear*RatePerHour*(1+PracticeGrowth)^1486</f>
        <v>8.8448588304745888E+36</v>
      </c>
      <c r="C1488" s="4">
        <f>StudentsY1*(1+StudentGrowth)^1486*CreditsPerStudent*TuitionPerCredit</f>
        <v>5.5280367690466189E+37</v>
      </c>
      <c r="D1488" s="4">
        <f>SimRevY1*(1+SimGrowth)^1486</f>
        <v>1.6162187823134256E+66</v>
      </c>
      <c r="E1488" s="4">
        <f>FacDevRevY1*(1+FacDevGrowth)^1486</f>
        <v>8.0810939115671281E+65</v>
      </c>
      <c r="F1488" s="4">
        <f t="shared" si="92"/>
        <v>2.4243281734701385E+66</v>
      </c>
      <c r="G1488" s="4">
        <f t="shared" si="93"/>
        <v>2.4243281734701385E+66</v>
      </c>
      <c r="H1488" s="4">
        <f>SalaryFTECount*SalaryPerFTE*(1+SalaryGrowth)^1486</f>
        <v>4.3029023737736201E+30</v>
      </c>
      <c r="I1488" s="4">
        <f>SimOpsY1*(1+SimOpsGrowth)^1486</f>
        <v>1.3957958679519289E+54</v>
      </c>
      <c r="J1488" s="4">
        <f>TrainDevY1*(1+TrainDevGrowth)^1486</f>
        <v>6.9789793397596445E+53</v>
      </c>
      <c r="K1488" s="4">
        <f>AdminY1*(1+AdminGrowth)^1486</f>
        <v>8.045365505234946E+41</v>
      </c>
      <c r="L1488" s="4">
        <f t="shared" si="94"/>
        <v>2.0936938019286978E+54</v>
      </c>
      <c r="M1488" s="4">
        <f t="shared" si="95"/>
        <v>2.4243281734680448E+66</v>
      </c>
    </row>
    <row r="1489" spans="1:13" x14ac:dyDescent="0.2">
      <c r="A1489" s="3">
        <f>StartYear+1487</f>
        <v>3512</v>
      </c>
      <c r="B1489" s="4">
        <f>FacultyFTE*HoursPerWeek*WeeksPerYear*RatePerHour*(1+PracticeGrowth)^1487</f>
        <v>9.2871017719983221E+36</v>
      </c>
      <c r="C1489" s="4">
        <f>StudentsY1*(1+StudentGrowth)^1487*CreditsPerStudent*TuitionPerCredit</f>
        <v>5.8044386074989516E+37</v>
      </c>
      <c r="D1489" s="4">
        <f>SimRevY1*(1+SimGrowth)^1487</f>
        <v>1.7778406605447682E+66</v>
      </c>
      <c r="E1489" s="4">
        <f>FacDevRevY1*(1+FacDevGrowth)^1487</f>
        <v>8.889203302723841E+65</v>
      </c>
      <c r="F1489" s="4">
        <f t="shared" si="92"/>
        <v>2.6667609908171521E+66</v>
      </c>
      <c r="G1489" s="4">
        <f t="shared" si="93"/>
        <v>2.6667609908171521E+66</v>
      </c>
      <c r="H1489" s="4">
        <f>SalaryFTECount*SalaryPerFTE*(1+SalaryGrowth)^1487</f>
        <v>4.4750184687245645E+30</v>
      </c>
      <c r="I1489" s="4">
        <f>SimOpsY1*(1+SimOpsGrowth)^1487</f>
        <v>1.5074595373880833E+54</v>
      </c>
      <c r="J1489" s="4">
        <f>TrainDevY1*(1+TrainDevGrowth)^1487</f>
        <v>7.5372976869404164E+53</v>
      </c>
      <c r="K1489" s="4">
        <f>AdminY1*(1+AdminGrowth)^1487</f>
        <v>8.5280874355490471E+41</v>
      </c>
      <c r="L1489" s="4">
        <f t="shared" si="94"/>
        <v>2.2611893060829778E+54</v>
      </c>
      <c r="M1489" s="4">
        <f t="shared" si="95"/>
        <v>2.6667609908148908E+66</v>
      </c>
    </row>
    <row r="1490" spans="1:13" x14ac:dyDescent="0.2">
      <c r="A1490" s="3">
        <f>StartYear+1488</f>
        <v>3513</v>
      </c>
      <c r="B1490" s="4">
        <f>FacultyFTE*HoursPerWeek*WeeksPerYear*RatePerHour*(1+PracticeGrowth)^1488</f>
        <v>9.7514568605982386E+36</v>
      </c>
      <c r="C1490" s="4">
        <f>StudentsY1*(1+StudentGrowth)^1488*CreditsPerStudent*TuitionPerCredit</f>
        <v>6.094660537873899E+37</v>
      </c>
      <c r="D1490" s="4">
        <f>SimRevY1*(1+SimGrowth)^1488</f>
        <v>1.9556247265992452E+66</v>
      </c>
      <c r="E1490" s="4">
        <f>FacDevRevY1*(1+FacDevGrowth)^1488</f>
        <v>9.7781236329962261E+65</v>
      </c>
      <c r="F1490" s="4">
        <f t="shared" si="92"/>
        <v>2.933437089898868E+66</v>
      </c>
      <c r="G1490" s="4">
        <f t="shared" si="93"/>
        <v>2.933437089898868E+66</v>
      </c>
      <c r="H1490" s="4">
        <f>SalaryFTECount*SalaryPerFTE*(1+SalaryGrowth)^1488</f>
        <v>4.6540192074735479E+30</v>
      </c>
      <c r="I1490" s="4">
        <f>SimOpsY1*(1+SimOpsGrowth)^1488</f>
        <v>1.6280563003791295E+54</v>
      </c>
      <c r="J1490" s="4">
        <f>TrainDevY1*(1+TrainDevGrowth)^1488</f>
        <v>8.1402815018956477E+53</v>
      </c>
      <c r="K1490" s="4">
        <f>AdminY1*(1+AdminGrowth)^1488</f>
        <v>9.039772681681987E+41</v>
      </c>
      <c r="L1490" s="4">
        <f t="shared" si="94"/>
        <v>2.4420844505695985E+54</v>
      </c>
      <c r="M1490" s="4">
        <f t="shared" si="95"/>
        <v>2.933437089896426E+66</v>
      </c>
    </row>
    <row r="1491" spans="1:13" x14ac:dyDescent="0.2">
      <c r="A1491" s="3">
        <f>StartYear+1489</f>
        <v>3514</v>
      </c>
      <c r="B1491" s="4">
        <f>FacultyFTE*HoursPerWeek*WeeksPerYear*RatePerHour*(1+PracticeGrowth)^1489</f>
        <v>1.0239029703628151E+37</v>
      </c>
      <c r="C1491" s="4">
        <f>StudentsY1*(1+StudentGrowth)^1489*CreditsPerStudent*TuitionPerCredit</f>
        <v>6.3993935647675949E+37</v>
      </c>
      <c r="D1491" s="4">
        <f>SimRevY1*(1+SimGrowth)^1489</f>
        <v>2.1511871992591697E+66</v>
      </c>
      <c r="E1491" s="4">
        <f>FacDevRevY1*(1+FacDevGrowth)^1489</f>
        <v>1.0755935996295848E+66</v>
      </c>
      <c r="F1491" s="4">
        <f t="shared" si="92"/>
        <v>3.2267807988887547E+66</v>
      </c>
      <c r="G1491" s="4">
        <f t="shared" si="93"/>
        <v>3.2267807988887547E+66</v>
      </c>
      <c r="H1491" s="4">
        <f>SalaryFTECount*SalaryPerFTE*(1+SalaryGrowth)^1489</f>
        <v>4.8401799757724893E+30</v>
      </c>
      <c r="I1491" s="4">
        <f>SimOpsY1*(1+SimOpsGrowth)^1489</f>
        <v>1.7583008044094599E+54</v>
      </c>
      <c r="J1491" s="4">
        <f>TrainDevY1*(1+TrainDevGrowth)^1489</f>
        <v>8.7915040220472996E+53</v>
      </c>
      <c r="K1491" s="4">
        <f>AdminY1*(1+AdminGrowth)^1489</f>
        <v>9.5821590425829072E+41</v>
      </c>
      <c r="L1491" s="4">
        <f t="shared" si="94"/>
        <v>2.6374512066151481E+54</v>
      </c>
      <c r="M1491" s="4">
        <f t="shared" si="95"/>
        <v>3.2267807988861174E+66</v>
      </c>
    </row>
    <row r="1492" spans="1:13" x14ac:dyDescent="0.2">
      <c r="A1492" s="3">
        <f>StartYear+1490</f>
        <v>3515</v>
      </c>
      <c r="B1492" s="4">
        <f>FacultyFTE*HoursPerWeek*WeeksPerYear*RatePerHour*(1+PracticeGrowth)^1490</f>
        <v>1.0750981188809559E+37</v>
      </c>
      <c r="C1492" s="4">
        <f>StudentsY1*(1+StudentGrowth)^1490*CreditsPerStudent*TuitionPerCredit</f>
        <v>6.7193632430059735E+37</v>
      </c>
      <c r="D1492" s="4">
        <f>SimRevY1*(1+SimGrowth)^1490</f>
        <v>2.3663059191850868E+66</v>
      </c>
      <c r="E1492" s="4">
        <f>FacDevRevY1*(1+FacDevGrowth)^1490</f>
        <v>1.1831529595925434E+66</v>
      </c>
      <c r="F1492" s="4">
        <f t="shared" si="92"/>
        <v>3.54945887877763E+66</v>
      </c>
      <c r="G1492" s="4">
        <f t="shared" si="93"/>
        <v>3.54945887877763E+66</v>
      </c>
      <c r="H1492" s="4">
        <f>SalaryFTECount*SalaryPerFTE*(1+SalaryGrowth)^1490</f>
        <v>5.0337871748033889E+30</v>
      </c>
      <c r="I1492" s="4">
        <f>SimOpsY1*(1+SimOpsGrowth)^1490</f>
        <v>1.8989648687622171E+54</v>
      </c>
      <c r="J1492" s="4">
        <f>TrainDevY1*(1+TrainDevGrowth)^1490</f>
        <v>9.4948243438110856E+53</v>
      </c>
      <c r="K1492" s="4">
        <f>AdminY1*(1+AdminGrowth)^1490</f>
        <v>1.0157088585137881E+42</v>
      </c>
      <c r="L1492" s="4">
        <f t="shared" si="94"/>
        <v>2.8484473031443414E+54</v>
      </c>
      <c r="M1492" s="4">
        <f t="shared" si="95"/>
        <v>3.5494588787747812E+66</v>
      </c>
    </row>
    <row r="1493" spans="1:13" x14ac:dyDescent="0.2">
      <c r="A1493" s="3">
        <f>StartYear+1491</f>
        <v>3516</v>
      </c>
      <c r="B1493" s="4">
        <f>FacultyFTE*HoursPerWeek*WeeksPerYear*RatePerHour*(1+PracticeGrowth)^1491</f>
        <v>1.1288530248250038E+37</v>
      </c>
      <c r="C1493" s="4">
        <f>StudentsY1*(1+StudentGrowth)^1491*CreditsPerStudent*TuitionPerCredit</f>
        <v>7.0553314051562734E+37</v>
      </c>
      <c r="D1493" s="4">
        <f>SimRevY1*(1+SimGrowth)^1491</f>
        <v>2.6029365111035968E+66</v>
      </c>
      <c r="E1493" s="4">
        <f>FacDevRevY1*(1+FacDevGrowth)^1491</f>
        <v>1.3014682555517984E+66</v>
      </c>
      <c r="F1493" s="4">
        <f t="shared" si="92"/>
        <v>3.9044047666553951E+66</v>
      </c>
      <c r="G1493" s="4">
        <f t="shared" si="93"/>
        <v>3.9044047666553951E+66</v>
      </c>
      <c r="H1493" s="4">
        <f>SalaryFTECount*SalaryPerFTE*(1+SalaryGrowth)^1491</f>
        <v>5.2351386617955253E+30</v>
      </c>
      <c r="I1493" s="4">
        <f>SimOpsY1*(1+SimOpsGrowth)^1491</f>
        <v>2.050882058263195E+54</v>
      </c>
      <c r="J1493" s="4">
        <f>TrainDevY1*(1+TrainDevGrowth)^1491</f>
        <v>1.0254410291315975E+54</v>
      </c>
      <c r="K1493" s="4">
        <f>AdminY1*(1+AdminGrowth)^1491</f>
        <v>1.0766513900246155E+42</v>
      </c>
      <c r="L1493" s="4">
        <f t="shared" si="94"/>
        <v>3.0763230873958691E+54</v>
      </c>
      <c r="M1493" s="4">
        <f t="shared" si="95"/>
        <v>3.9044047666523189E+66</v>
      </c>
    </row>
    <row r="1494" spans="1:13" x14ac:dyDescent="0.2">
      <c r="A1494" s="3">
        <f>StartYear+1492</f>
        <v>3517</v>
      </c>
      <c r="B1494" s="4">
        <f>FacultyFTE*HoursPerWeek*WeeksPerYear*RatePerHour*(1+PracticeGrowth)^1492</f>
        <v>1.1852956760662538E+37</v>
      </c>
      <c r="C1494" s="4">
        <f>StudentsY1*(1+StudentGrowth)^1492*CreditsPerStudent*TuitionPerCredit</f>
        <v>7.4080979754140862E+37</v>
      </c>
      <c r="D1494" s="4">
        <f>SimRevY1*(1+SimGrowth)^1492</f>
        <v>2.8632301622139555E+66</v>
      </c>
      <c r="E1494" s="4">
        <f>FacDevRevY1*(1+FacDevGrowth)^1492</f>
        <v>1.4316150811069777E+66</v>
      </c>
      <c r="F1494" s="4">
        <f t="shared" si="92"/>
        <v>4.2948452433209334E+66</v>
      </c>
      <c r="G1494" s="4">
        <f t="shared" si="93"/>
        <v>4.2948452433209334E+66</v>
      </c>
      <c r="H1494" s="4">
        <f>SalaryFTECount*SalaryPerFTE*(1+SalaryGrowth)^1492</f>
        <v>5.4445442082673461E+30</v>
      </c>
      <c r="I1494" s="4">
        <f>SimOpsY1*(1+SimOpsGrowth)^1492</f>
        <v>2.2149526229242501E+54</v>
      </c>
      <c r="J1494" s="4">
        <f>TrainDevY1*(1+TrainDevGrowth)^1492</f>
        <v>1.1074763114621251E+54</v>
      </c>
      <c r="K1494" s="4">
        <f>AdminY1*(1+AdminGrowth)^1492</f>
        <v>1.1412504734260924E+42</v>
      </c>
      <c r="L1494" s="4">
        <f t="shared" si="94"/>
        <v>3.3224289343875167E+54</v>
      </c>
      <c r="M1494" s="4">
        <f t="shared" si="95"/>
        <v>4.294845243317611E+66</v>
      </c>
    </row>
    <row r="1495" spans="1:13" x14ac:dyDescent="0.2">
      <c r="A1495" s="3">
        <f>StartYear+1493</f>
        <v>3518</v>
      </c>
      <c r="B1495" s="4">
        <f>FacultyFTE*HoursPerWeek*WeeksPerYear*RatePerHour*(1+PracticeGrowth)^1493</f>
        <v>1.2445604598695666E+37</v>
      </c>
      <c r="C1495" s="4">
        <f>StudentsY1*(1+StudentGrowth)^1493*CreditsPerStudent*TuitionPerCredit</f>
        <v>7.7785028741847909E+37</v>
      </c>
      <c r="D1495" s="4">
        <f>SimRevY1*(1+SimGrowth)^1493</f>
        <v>3.1495531784353517E+66</v>
      </c>
      <c r="E1495" s="4">
        <f>FacDevRevY1*(1+FacDevGrowth)^1493</f>
        <v>1.5747765892176758E+66</v>
      </c>
      <c r="F1495" s="4">
        <f t="shared" si="92"/>
        <v>4.7243297676530275E+66</v>
      </c>
      <c r="G1495" s="4">
        <f t="shared" si="93"/>
        <v>4.7243297676530275E+66</v>
      </c>
      <c r="H1495" s="4">
        <f>SalaryFTECount*SalaryPerFTE*(1+SalaryGrowth)^1493</f>
        <v>5.6623259765980417E+30</v>
      </c>
      <c r="I1495" s="4">
        <f>SimOpsY1*(1+SimOpsGrowth)^1493</f>
        <v>2.3921488327581905E+54</v>
      </c>
      <c r="J1495" s="4">
        <f>TrainDevY1*(1+TrainDevGrowth)^1493</f>
        <v>1.1960744163790953E+54</v>
      </c>
      <c r="K1495" s="4">
        <f>AdminY1*(1+AdminGrowth)^1493</f>
        <v>1.2097255018316582E+42</v>
      </c>
      <c r="L1495" s="4">
        <f t="shared" si="94"/>
        <v>3.5882232491384957E+54</v>
      </c>
      <c r="M1495" s="4">
        <f t="shared" si="95"/>
        <v>4.7243297676494394E+66</v>
      </c>
    </row>
    <row r="1496" spans="1:13" x14ac:dyDescent="0.2">
      <c r="A1496" s="3">
        <f>StartYear+1494</f>
        <v>3519</v>
      </c>
      <c r="B1496" s="4">
        <f>FacultyFTE*HoursPerWeek*WeeksPerYear*RatePerHour*(1+PracticeGrowth)^1494</f>
        <v>1.3067884828630446E+37</v>
      </c>
      <c r="C1496" s="4">
        <f>StudentsY1*(1+StudentGrowth)^1494*CreditsPerStudent*TuitionPerCredit</f>
        <v>8.1674280178940292E+37</v>
      </c>
      <c r="D1496" s="4">
        <f>SimRevY1*(1+SimGrowth)^1494</f>
        <v>3.4645084962788877E+66</v>
      </c>
      <c r="E1496" s="4">
        <f>FacDevRevY1*(1+FacDevGrowth)^1494</f>
        <v>1.7322542481394439E+66</v>
      </c>
      <c r="F1496" s="4">
        <f t="shared" si="92"/>
        <v>5.1967627444183312E+66</v>
      </c>
      <c r="G1496" s="4">
        <f t="shared" si="93"/>
        <v>5.1967627444183312E+66</v>
      </c>
      <c r="H1496" s="4">
        <f>SalaryFTECount*SalaryPerFTE*(1+SalaryGrowth)^1494</f>
        <v>5.8888190156619638E+30</v>
      </c>
      <c r="I1496" s="4">
        <f>SimOpsY1*(1+SimOpsGrowth)^1494</f>
        <v>2.583520739378846E+54</v>
      </c>
      <c r="J1496" s="4">
        <f>TrainDevY1*(1+TrainDevGrowth)^1494</f>
        <v>1.291760369689423E+54</v>
      </c>
      <c r="K1496" s="4">
        <f>AdminY1*(1+AdminGrowth)^1494</f>
        <v>1.2823090319415577E+42</v>
      </c>
      <c r="L1496" s="4">
        <f t="shared" si="94"/>
        <v>3.8752811090695512E+54</v>
      </c>
      <c r="M1496" s="4">
        <f t="shared" si="95"/>
        <v>5.1967627444144558E+66</v>
      </c>
    </row>
    <row r="1497" spans="1:13" x14ac:dyDescent="0.2">
      <c r="A1497" s="3">
        <f>StartYear+1495</f>
        <v>3520</v>
      </c>
      <c r="B1497" s="4">
        <f>FacultyFTE*HoursPerWeek*WeeksPerYear*RatePerHour*(1+PracticeGrowth)^1495</f>
        <v>1.3721279070061973E+37</v>
      </c>
      <c r="C1497" s="4">
        <f>StudentsY1*(1+StudentGrowth)^1495*CreditsPerStudent*TuitionPerCredit</f>
        <v>8.5757994187887325E+37</v>
      </c>
      <c r="D1497" s="4">
        <f>SimRevY1*(1+SimGrowth)^1495</f>
        <v>3.8109593459067761E+66</v>
      </c>
      <c r="E1497" s="4">
        <f>FacDevRevY1*(1+FacDevGrowth)^1495</f>
        <v>1.9054796729533881E+66</v>
      </c>
      <c r="F1497" s="4">
        <f t="shared" si="92"/>
        <v>5.7164390188601642E+66</v>
      </c>
      <c r="G1497" s="4">
        <f t="shared" si="93"/>
        <v>5.7164390188601642E+66</v>
      </c>
      <c r="H1497" s="4">
        <f>SalaryFTECount*SalaryPerFTE*(1+SalaryGrowth)^1495</f>
        <v>6.1243717762884405E+30</v>
      </c>
      <c r="I1497" s="4">
        <f>SimOpsY1*(1+SimOpsGrowth)^1495</f>
        <v>2.7902023985291538E+54</v>
      </c>
      <c r="J1497" s="4">
        <f>TrainDevY1*(1+TrainDevGrowth)^1495</f>
        <v>1.3951011992645769E+54</v>
      </c>
      <c r="K1497" s="4">
        <f>AdminY1*(1+AdminGrowth)^1495</f>
        <v>1.3592475738580516E+42</v>
      </c>
      <c r="L1497" s="4">
        <f t="shared" si="94"/>
        <v>4.1853035977950896E+54</v>
      </c>
      <c r="M1497" s="4">
        <f t="shared" si="95"/>
        <v>5.716439018855979E+66</v>
      </c>
    </row>
    <row r="1498" spans="1:13" x14ac:dyDescent="0.2">
      <c r="A1498" s="3">
        <f>StartYear+1496</f>
        <v>3521</v>
      </c>
      <c r="B1498" s="4">
        <f>FacultyFTE*HoursPerWeek*WeeksPerYear*RatePerHour*(1+PracticeGrowth)^1496</f>
        <v>1.4407343023565065E+37</v>
      </c>
      <c r="C1498" s="4">
        <f>StudentsY1*(1+StudentGrowth)^1496*CreditsPerStudent*TuitionPerCredit</f>
        <v>9.0045893897281654E+37</v>
      </c>
      <c r="D1498" s="4">
        <f>SimRevY1*(1+SimGrowth)^1496</f>
        <v>4.1920552804974534E+66</v>
      </c>
      <c r="E1498" s="4">
        <f>FacDevRevY1*(1+FacDevGrowth)^1496</f>
        <v>2.0960276402487267E+66</v>
      </c>
      <c r="F1498" s="4">
        <f t="shared" si="92"/>
        <v>6.2880829207461805E+66</v>
      </c>
      <c r="G1498" s="4">
        <f t="shared" si="93"/>
        <v>6.2880829207461805E+66</v>
      </c>
      <c r="H1498" s="4">
        <f>SalaryFTECount*SalaryPerFTE*(1+SalaryGrowth)^1496</f>
        <v>6.3693466473399785E+30</v>
      </c>
      <c r="I1498" s="4">
        <f>SimOpsY1*(1+SimOpsGrowth)^1496</f>
        <v>3.0134185904114863E+54</v>
      </c>
      <c r="J1498" s="4">
        <f>TrainDevY1*(1+TrainDevGrowth)^1496</f>
        <v>1.5067092952057432E+54</v>
      </c>
      <c r="K1498" s="4">
        <f>AdminY1*(1+AdminGrowth)^1496</f>
        <v>1.440802428289534E+42</v>
      </c>
      <c r="L1498" s="4">
        <f t="shared" si="94"/>
        <v>4.5201278856186701E+54</v>
      </c>
      <c r="M1498" s="4">
        <f t="shared" si="95"/>
        <v>6.2880829207416601E+66</v>
      </c>
    </row>
    <row r="1499" spans="1:13" x14ac:dyDescent="0.2">
      <c r="A1499" s="3">
        <f>StartYear+1497</f>
        <v>3522</v>
      </c>
      <c r="B1499" s="4">
        <f>FacultyFTE*HoursPerWeek*WeeksPerYear*RatePerHour*(1+PracticeGrowth)^1497</f>
        <v>1.5127710174743321E+37</v>
      </c>
      <c r="C1499" s="4">
        <f>StudentsY1*(1+StudentGrowth)^1497*CreditsPerStudent*TuitionPerCredit</f>
        <v>9.4548188592145759E+37</v>
      </c>
      <c r="D1499" s="4">
        <f>SimRevY1*(1+SimGrowth)^1497</f>
        <v>4.6112608085471997E+66</v>
      </c>
      <c r="E1499" s="4">
        <f>FacDevRevY1*(1+FacDevGrowth)^1497</f>
        <v>2.3056304042735999E+66</v>
      </c>
      <c r="F1499" s="4">
        <f t="shared" si="92"/>
        <v>6.9168912128207996E+66</v>
      </c>
      <c r="G1499" s="4">
        <f t="shared" si="93"/>
        <v>6.9168912128207996E+66</v>
      </c>
      <c r="H1499" s="4">
        <f>SalaryFTECount*SalaryPerFTE*(1+SalaryGrowth)^1497</f>
        <v>6.6241205132335805E+30</v>
      </c>
      <c r="I1499" s="4">
        <f>SimOpsY1*(1+SimOpsGrowth)^1497</f>
        <v>3.2544920776444054E+54</v>
      </c>
      <c r="J1499" s="4">
        <f>TrainDevY1*(1+TrainDevGrowth)^1497</f>
        <v>1.6272460388222027E+54</v>
      </c>
      <c r="K1499" s="4">
        <f>AdminY1*(1+AdminGrowth)^1497</f>
        <v>1.5272505739869067E+42</v>
      </c>
      <c r="L1499" s="4">
        <f t="shared" si="94"/>
        <v>4.8817381164681352E+54</v>
      </c>
      <c r="M1499" s="4">
        <f t="shared" si="95"/>
        <v>6.9168912128159178E+66</v>
      </c>
    </row>
    <row r="1500" spans="1:13" x14ac:dyDescent="0.2">
      <c r="A1500" s="3">
        <f>StartYear+1498</f>
        <v>3523</v>
      </c>
      <c r="B1500" s="4">
        <f>FacultyFTE*HoursPerWeek*WeeksPerYear*RatePerHour*(1+PracticeGrowth)^1498</f>
        <v>1.5884095683480488E+37</v>
      </c>
      <c r="C1500" s="4">
        <f>StudentsY1*(1+StudentGrowth)^1498*CreditsPerStudent*TuitionPerCredit</f>
        <v>9.9275598021753047E+37</v>
      </c>
      <c r="D1500" s="4">
        <f>SimRevY1*(1+SimGrowth)^1498</f>
        <v>5.0723868894019205E+66</v>
      </c>
      <c r="E1500" s="4">
        <f>FacDevRevY1*(1+FacDevGrowth)^1498</f>
        <v>2.5361934447009602E+66</v>
      </c>
      <c r="F1500" s="4">
        <f t="shared" si="92"/>
        <v>7.6085803341028811E+66</v>
      </c>
      <c r="G1500" s="4">
        <f t="shared" si="93"/>
        <v>7.6085803341028811E+66</v>
      </c>
      <c r="H1500" s="4">
        <f>SalaryFTECount*SalaryPerFTE*(1+SalaryGrowth)^1498</f>
        <v>6.889085333762921E+30</v>
      </c>
      <c r="I1500" s="4">
        <f>SimOpsY1*(1+SimOpsGrowth)^1498</f>
        <v>3.5148514438559573E+54</v>
      </c>
      <c r="J1500" s="4">
        <f>TrainDevY1*(1+TrainDevGrowth)^1498</f>
        <v>1.7574257219279786E+54</v>
      </c>
      <c r="K1500" s="4">
        <f>AdminY1*(1+AdminGrowth)^1498</f>
        <v>1.6188856084261208E+42</v>
      </c>
      <c r="L1500" s="4">
        <f t="shared" si="94"/>
        <v>5.2722771657855549E+54</v>
      </c>
      <c r="M1500" s="4">
        <f t="shared" si="95"/>
        <v>7.6085803340976086E+66</v>
      </c>
    </row>
    <row r="1501" spans="1:13" x14ac:dyDescent="0.2">
      <c r="A1501" s="3">
        <f>StartYear+1499</f>
        <v>3524</v>
      </c>
      <c r="B1501" s="4">
        <f>FacultyFTE*HoursPerWeek*WeeksPerYear*RatePerHour*(1+PracticeGrowth)^1499</f>
        <v>1.6678300467654516E+37</v>
      </c>
      <c r="C1501" s="4">
        <f>StudentsY1*(1+StudentGrowth)^1499*CreditsPerStudent*TuitionPerCredit</f>
        <v>1.0423937792284072E+38</v>
      </c>
      <c r="D1501" s="4">
        <f>SimRevY1*(1+SimGrowth)^1499</f>
        <v>5.5796255783421126E+66</v>
      </c>
      <c r="E1501" s="4">
        <f>FacDevRevY1*(1+FacDevGrowth)^1499</f>
        <v>2.7898127891710563E+66</v>
      </c>
      <c r="F1501" s="4">
        <f t="shared" si="92"/>
        <v>8.3694383675131681E+66</v>
      </c>
      <c r="G1501" s="4">
        <f t="shared" si="93"/>
        <v>8.3694383675131681E+66</v>
      </c>
      <c r="H1501" s="4">
        <f>SalaryFTECount*SalaryPerFTE*(1+SalaryGrowth)^1499</f>
        <v>7.1646487471134385E+30</v>
      </c>
      <c r="I1501" s="4">
        <f>SimOpsY1*(1+SimOpsGrowth)^1499</f>
        <v>3.7960395593644339E+54</v>
      </c>
      <c r="J1501" s="4">
        <f>TrainDevY1*(1+TrainDevGrowth)^1499</f>
        <v>1.898019779682217E+54</v>
      </c>
      <c r="K1501" s="4">
        <f>AdminY1*(1+AdminGrowth)^1499</f>
        <v>1.7160187449316885E+42</v>
      </c>
      <c r="L1501" s="4">
        <f t="shared" si="94"/>
        <v>5.6940593390483666E+54</v>
      </c>
      <c r="M1501" s="4">
        <f t="shared" si="95"/>
        <v>8.3694383675074736E+66</v>
      </c>
    </row>
    <row r="1502" spans="1:13" x14ac:dyDescent="0.2">
      <c r="A1502" s="3">
        <f>StartYear+1500</f>
        <v>3525</v>
      </c>
      <c r="B1502" s="4">
        <f>FacultyFTE*HoursPerWeek*WeeksPerYear*RatePerHour*(1+PracticeGrowth)^1500</f>
        <v>1.7512215491037238E+37</v>
      </c>
      <c r="C1502" s="4">
        <f>StudentsY1*(1+StudentGrowth)^1500*CreditsPerStudent*TuitionPerCredit</f>
        <v>1.0945134681898273E+38</v>
      </c>
      <c r="D1502" s="4">
        <f>SimRevY1*(1+SimGrowth)^1500</f>
        <v>6.137588136176324E+66</v>
      </c>
      <c r="E1502" s="4">
        <f>FacDevRevY1*(1+FacDevGrowth)^1500</f>
        <v>3.068794068088162E+66</v>
      </c>
      <c r="F1502" s="4">
        <f t="shared" si="92"/>
        <v>9.2063822042644867E+66</v>
      </c>
      <c r="G1502" s="4">
        <f t="shared" si="93"/>
        <v>9.2063822042644867E+66</v>
      </c>
      <c r="H1502" s="4">
        <f>SalaryFTECount*SalaryPerFTE*(1+SalaryGrowth)^1500</f>
        <v>7.4512346969979785E+30</v>
      </c>
      <c r="I1502" s="4">
        <f>SimOpsY1*(1+SimOpsGrowth)^1500</f>
        <v>4.0997227241135888E+54</v>
      </c>
      <c r="J1502" s="4">
        <f>TrainDevY1*(1+TrainDevGrowth)^1500</f>
        <v>2.0498613620567944E+54</v>
      </c>
      <c r="K1502" s="4">
        <f>AdminY1*(1+AdminGrowth)^1500</f>
        <v>1.8189798696275898E+42</v>
      </c>
      <c r="L1502" s="4">
        <f t="shared" si="94"/>
        <v>6.1495840861722017E+54</v>
      </c>
      <c r="M1502" s="4">
        <f t="shared" si="95"/>
        <v>9.2063822042583373E+66</v>
      </c>
    </row>
    <row r="1503" spans="1:13" x14ac:dyDescent="0.2">
      <c r="A1503" s="3">
        <f>StartYear+1501</f>
        <v>3526</v>
      </c>
      <c r="B1503" s="4">
        <f>FacultyFTE*HoursPerWeek*WeeksPerYear*RatePerHour*(1+PracticeGrowth)^1501</f>
        <v>1.8387826265589106E+37</v>
      </c>
      <c r="C1503" s="4">
        <f>StudentsY1*(1+StudentGrowth)^1501*CreditsPerStudent*TuitionPerCredit</f>
        <v>1.1492391415993191E+38</v>
      </c>
      <c r="D1503" s="4">
        <f>SimRevY1*(1+SimGrowth)^1501</f>
        <v>6.7513469497939559E+66</v>
      </c>
      <c r="E1503" s="4">
        <f>FacDevRevY1*(1+FacDevGrowth)^1501</f>
        <v>3.375673474896978E+66</v>
      </c>
      <c r="F1503" s="4">
        <f t="shared" si="92"/>
        <v>1.0127020424690934E+67</v>
      </c>
      <c r="G1503" s="4">
        <f t="shared" si="93"/>
        <v>1.0127020424690934E+67</v>
      </c>
      <c r="H1503" s="4">
        <f>SalaryFTECount*SalaryPerFTE*(1+SalaryGrowth)^1501</f>
        <v>7.7492840848778974E+30</v>
      </c>
      <c r="I1503" s="4">
        <f>SimOpsY1*(1+SimOpsGrowth)^1501</f>
        <v>4.4277005420426764E+54</v>
      </c>
      <c r="J1503" s="4">
        <f>TrainDevY1*(1+TrainDevGrowth)^1501</f>
        <v>2.2138502710213382E+54</v>
      </c>
      <c r="K1503" s="4">
        <f>AdminY1*(1+AdminGrowth)^1501</f>
        <v>1.9281186618052452E+42</v>
      </c>
      <c r="L1503" s="4">
        <f t="shared" si="94"/>
        <v>6.6415508130659436E+54</v>
      </c>
      <c r="M1503" s="4">
        <f t="shared" si="95"/>
        <v>1.0127020424684292E+67</v>
      </c>
    </row>
    <row r="1504" spans="1:13" x14ac:dyDescent="0.2">
      <c r="A1504" s="3">
        <f>StartYear+1502</f>
        <v>3527</v>
      </c>
      <c r="B1504" s="4">
        <f>FacultyFTE*HoursPerWeek*WeeksPerYear*RatePerHour*(1+PracticeGrowth)^1502</f>
        <v>1.9307217578868551E+37</v>
      </c>
      <c r="C1504" s="4">
        <f>StudentsY1*(1+StudentGrowth)^1502*CreditsPerStudent*TuitionPerCredit</f>
        <v>1.2067010986792845E+38</v>
      </c>
      <c r="D1504" s="4">
        <f>SimRevY1*(1+SimGrowth)^1502</f>
        <v>7.4264816447733548E+66</v>
      </c>
      <c r="E1504" s="4">
        <f>FacDevRevY1*(1+FacDevGrowth)^1502</f>
        <v>3.7132408223866774E+66</v>
      </c>
      <c r="F1504" s="4">
        <f t="shared" si="92"/>
        <v>1.1139722467160033E+67</v>
      </c>
      <c r="G1504" s="4">
        <f t="shared" si="93"/>
        <v>1.1139722467160033E+67</v>
      </c>
      <c r="H1504" s="4">
        <f>SalaryFTECount*SalaryPerFTE*(1+SalaryGrowth)^1502</f>
        <v>8.0592554482730118E+30</v>
      </c>
      <c r="I1504" s="4">
        <f>SimOpsY1*(1+SimOpsGrowth)^1502</f>
        <v>4.7819165854060914E+54</v>
      </c>
      <c r="J1504" s="4">
        <f>TrainDevY1*(1+TrainDevGrowth)^1502</f>
        <v>2.3909582927030457E+54</v>
      </c>
      <c r="K1504" s="4">
        <f>AdminY1*(1+AdminGrowth)^1502</f>
        <v>2.0438057815135602E+42</v>
      </c>
      <c r="L1504" s="4">
        <f t="shared" si="94"/>
        <v>7.1728748781111819E+54</v>
      </c>
      <c r="M1504" s="4">
        <f t="shared" si="95"/>
        <v>1.113972246715286E+67</v>
      </c>
    </row>
    <row r="1505" spans="1:13" x14ac:dyDescent="0.2">
      <c r="A1505" s="3">
        <f>StartYear+1503</f>
        <v>3528</v>
      </c>
      <c r="B1505" s="4">
        <f>FacultyFTE*HoursPerWeek*WeeksPerYear*RatePerHour*(1+PracticeGrowth)^1503</f>
        <v>2.0272578457811989E+37</v>
      </c>
      <c r="C1505" s="4">
        <f>StudentsY1*(1+StudentGrowth)^1503*CreditsPerStudent*TuitionPerCredit</f>
        <v>1.2670361536132496E+38</v>
      </c>
      <c r="D1505" s="4">
        <f>SimRevY1*(1+SimGrowth)^1503</f>
        <v>8.1691298092506893E+66</v>
      </c>
      <c r="E1505" s="4">
        <f>FacDevRevY1*(1+FacDevGrowth)^1503</f>
        <v>4.0845649046253446E+66</v>
      </c>
      <c r="F1505" s="4">
        <f t="shared" si="92"/>
        <v>1.2253694713876034E+67</v>
      </c>
      <c r="G1505" s="4">
        <f t="shared" si="93"/>
        <v>1.2253694713876034E+67</v>
      </c>
      <c r="H1505" s="4">
        <f>SalaryFTECount*SalaryPerFTE*(1+SalaryGrowth)^1503</f>
        <v>8.3816256662039335E+30</v>
      </c>
      <c r="I1505" s="4">
        <f>SimOpsY1*(1+SimOpsGrowth)^1503</f>
        <v>5.1644699122385792E+54</v>
      </c>
      <c r="J1505" s="4">
        <f>TrainDevY1*(1+TrainDevGrowth)^1503</f>
        <v>2.5822349561192896E+54</v>
      </c>
      <c r="K1505" s="4">
        <f>AdminY1*(1+AdminGrowth)^1503</f>
        <v>2.1664341284043745E+42</v>
      </c>
      <c r="L1505" s="4">
        <f t="shared" si="94"/>
        <v>7.7467048683600357E+54</v>
      </c>
      <c r="M1505" s="4">
        <f t="shared" si="95"/>
        <v>1.2253694713868288E+67</v>
      </c>
    </row>
    <row r="1506" spans="1:13" x14ac:dyDescent="0.2">
      <c r="A1506" s="3">
        <f>StartYear+1504</f>
        <v>3529</v>
      </c>
      <c r="B1506" s="4">
        <f>FacultyFTE*HoursPerWeek*WeeksPerYear*RatePerHour*(1+PracticeGrowth)^1504</f>
        <v>2.1286207380702586E+37</v>
      </c>
      <c r="C1506" s="4">
        <f>StudentsY1*(1+StudentGrowth)^1504*CreditsPerStudent*TuitionPerCredit</f>
        <v>1.3303879612939117E+38</v>
      </c>
      <c r="D1506" s="4">
        <f>SimRevY1*(1+SimGrowth)^1504</f>
        <v>8.9860427901757585E+66</v>
      </c>
      <c r="E1506" s="4">
        <f>FacDevRevY1*(1+FacDevGrowth)^1504</f>
        <v>4.4930213950878792E+66</v>
      </c>
      <c r="F1506" s="4">
        <f t="shared" si="92"/>
        <v>1.3479064185263638E+67</v>
      </c>
      <c r="G1506" s="4">
        <f t="shared" si="93"/>
        <v>1.3479064185263638E+67</v>
      </c>
      <c r="H1506" s="4">
        <f>SalaryFTECount*SalaryPerFTE*(1+SalaryGrowth)^1504</f>
        <v>8.7168906928520934E+30</v>
      </c>
      <c r="I1506" s="4">
        <f>SimOpsY1*(1+SimOpsGrowth)^1504</f>
        <v>5.5776275052176659E+54</v>
      </c>
      <c r="J1506" s="4">
        <f>TrainDevY1*(1+TrainDevGrowth)^1504</f>
        <v>2.7888137526088329E+54</v>
      </c>
      <c r="K1506" s="4">
        <f>AdminY1*(1+AdminGrowth)^1504</f>
        <v>2.2964201761086364E+42</v>
      </c>
      <c r="L1506" s="4">
        <f t="shared" si="94"/>
        <v>8.3664412578287954E+54</v>
      </c>
      <c r="M1506" s="4">
        <f t="shared" si="95"/>
        <v>1.3479064185255272E+67</v>
      </c>
    </row>
    <row r="1507" spans="1:13" x14ac:dyDescent="0.2">
      <c r="A1507" s="3">
        <f>StartYear+1505</f>
        <v>3530</v>
      </c>
      <c r="B1507" s="4">
        <f>FacultyFTE*HoursPerWeek*WeeksPerYear*RatePerHour*(1+PracticeGrowth)^1505</f>
        <v>2.2350517749737718E+37</v>
      </c>
      <c r="C1507" s="4">
        <f>StudentsY1*(1+StudentGrowth)^1505*CreditsPerStudent*TuitionPerCredit</f>
        <v>1.3969073593586073E+38</v>
      </c>
      <c r="D1507" s="4">
        <f>SimRevY1*(1+SimGrowth)^1505</f>
        <v>9.8846470691933352E+66</v>
      </c>
      <c r="E1507" s="4">
        <f>FacDevRevY1*(1+FacDevGrowth)^1505</f>
        <v>4.9423235345966676E+66</v>
      </c>
      <c r="F1507" s="4">
        <f t="shared" si="92"/>
        <v>1.4826970603790004E+67</v>
      </c>
      <c r="G1507" s="4">
        <f t="shared" si="93"/>
        <v>1.4826970603790004E+67</v>
      </c>
      <c r="H1507" s="4">
        <f>SalaryFTECount*SalaryPerFTE*(1+SalaryGrowth)^1505</f>
        <v>9.0655663205661747E+30</v>
      </c>
      <c r="I1507" s="4">
        <f>SimOpsY1*(1+SimOpsGrowth)^1505</f>
        <v>6.0238377056350788E+54</v>
      </c>
      <c r="J1507" s="4">
        <f>TrainDevY1*(1+TrainDevGrowth)^1505</f>
        <v>3.0119188528175394E+54</v>
      </c>
      <c r="K1507" s="4">
        <f>AdminY1*(1+AdminGrowth)^1505</f>
        <v>2.4342053866751543E+42</v>
      </c>
      <c r="L1507" s="4">
        <f t="shared" si="94"/>
        <v>9.0357565584550512E+54</v>
      </c>
      <c r="M1507" s="4">
        <f t="shared" si="95"/>
        <v>1.4826970603780967E+67</v>
      </c>
    </row>
    <row r="1508" spans="1:13" x14ac:dyDescent="0.2">
      <c r="A1508" s="3">
        <f>StartYear+1506</f>
        <v>3531</v>
      </c>
      <c r="B1508" s="4">
        <f>FacultyFTE*HoursPerWeek*WeeksPerYear*RatePerHour*(1+PracticeGrowth)^1506</f>
        <v>2.3468043637224601E+37</v>
      </c>
      <c r="C1508" s="4">
        <f>StudentsY1*(1+StudentGrowth)^1506*CreditsPerStudent*TuitionPerCredit</f>
        <v>1.4667527273265376E+38</v>
      </c>
      <c r="D1508" s="4">
        <f>SimRevY1*(1+SimGrowth)^1506</f>
        <v>1.0873111776112669E+67</v>
      </c>
      <c r="E1508" s="4">
        <f>FacDevRevY1*(1+FacDevGrowth)^1506</f>
        <v>5.4365558880563345E+66</v>
      </c>
      <c r="F1508" s="4">
        <f t="shared" si="92"/>
        <v>1.6309667664169002E+67</v>
      </c>
      <c r="G1508" s="4">
        <f t="shared" si="93"/>
        <v>1.6309667664169002E+67</v>
      </c>
      <c r="H1508" s="4">
        <f>SalaryFTECount*SalaryPerFTE*(1+SalaryGrowth)^1506</f>
        <v>9.4281889733888231E+30</v>
      </c>
      <c r="I1508" s="4">
        <f>SimOpsY1*(1+SimOpsGrowth)^1506</f>
        <v>6.5057447220858848E+54</v>
      </c>
      <c r="J1508" s="4">
        <f>TrainDevY1*(1+TrainDevGrowth)^1506</f>
        <v>3.2528723610429424E+54</v>
      </c>
      <c r="K1508" s="4">
        <f>AdminY1*(1+AdminGrowth)^1506</f>
        <v>2.5802577098756635E+42</v>
      </c>
      <c r="L1508" s="4">
        <f t="shared" si="94"/>
        <v>9.7586170831314072E+54</v>
      </c>
      <c r="M1508" s="4">
        <f t="shared" si="95"/>
        <v>1.6309667664159244E+67</v>
      </c>
    </row>
    <row r="1509" spans="1:13" x14ac:dyDescent="0.2">
      <c r="A1509" s="3">
        <f>StartYear+1507</f>
        <v>3532</v>
      </c>
      <c r="B1509" s="4">
        <f>FacultyFTE*HoursPerWeek*WeeksPerYear*RatePerHour*(1+PracticeGrowth)^1507</f>
        <v>2.4641445819085835E+37</v>
      </c>
      <c r="C1509" s="4">
        <f>StudentsY1*(1+StudentGrowth)^1507*CreditsPerStudent*TuitionPerCredit</f>
        <v>1.5400903636928648E+38</v>
      </c>
      <c r="D1509" s="4">
        <f>SimRevY1*(1+SimGrowth)^1507</f>
        <v>1.1960422953723938E+67</v>
      </c>
      <c r="E1509" s="4">
        <f>FacDevRevY1*(1+FacDevGrowth)^1507</f>
        <v>5.9802114768619691E+66</v>
      </c>
      <c r="F1509" s="4">
        <f t="shared" si="92"/>
        <v>1.7940634430585908E+67</v>
      </c>
      <c r="G1509" s="4">
        <f t="shared" si="93"/>
        <v>1.7940634430585908E+67</v>
      </c>
      <c r="H1509" s="4">
        <f>SalaryFTECount*SalaryPerFTE*(1+SalaryGrowth)^1507</f>
        <v>9.8053165323243758E+30</v>
      </c>
      <c r="I1509" s="4">
        <f>SimOpsY1*(1+SimOpsGrowth)^1507</f>
        <v>7.0262042998527589E+54</v>
      </c>
      <c r="J1509" s="4">
        <f>TrainDevY1*(1+TrainDevGrowth)^1507</f>
        <v>3.5131021499263795E+54</v>
      </c>
      <c r="K1509" s="4">
        <f>AdminY1*(1+AdminGrowth)^1507</f>
        <v>2.735073172468204E+42</v>
      </c>
      <c r="L1509" s="4">
        <f t="shared" si="94"/>
        <v>1.0539306449781872E+55</v>
      </c>
      <c r="M1509" s="4">
        <f t="shared" si="95"/>
        <v>1.7940634430575369E+67</v>
      </c>
    </row>
    <row r="1510" spans="1:13" x14ac:dyDescent="0.2">
      <c r="A1510" s="3">
        <f>StartYear+1508</f>
        <v>3533</v>
      </c>
      <c r="B1510" s="4">
        <f>FacultyFTE*HoursPerWeek*WeeksPerYear*RatePerHour*(1+PracticeGrowth)^1508</f>
        <v>2.5873518110040123E+37</v>
      </c>
      <c r="C1510" s="4">
        <f>StudentsY1*(1+StudentGrowth)^1508*CreditsPerStudent*TuitionPerCredit</f>
        <v>1.6170948818775074E+38</v>
      </c>
      <c r="D1510" s="4">
        <f>SimRevY1*(1+SimGrowth)^1508</f>
        <v>1.3156465249096333E+67</v>
      </c>
      <c r="E1510" s="4">
        <f>FacDevRevY1*(1+FacDevGrowth)^1508</f>
        <v>6.5782326245481667E+66</v>
      </c>
      <c r="F1510" s="4">
        <f t="shared" si="92"/>
        <v>1.97346978736445E+67</v>
      </c>
      <c r="G1510" s="4">
        <f t="shared" si="93"/>
        <v>1.97346978736445E+67</v>
      </c>
      <c r="H1510" s="4">
        <f>SalaryFTECount*SalaryPerFTE*(1+SalaryGrowth)^1508</f>
        <v>1.0197529193617354E+31</v>
      </c>
      <c r="I1510" s="4">
        <f>SimOpsY1*(1+SimOpsGrowth)^1508</f>
        <v>7.5883006438409794E+54</v>
      </c>
      <c r="J1510" s="4">
        <f>TrainDevY1*(1+TrainDevGrowth)^1508</f>
        <v>3.7941503219204897E+54</v>
      </c>
      <c r="K1510" s="4">
        <f>AdminY1*(1+AdminGrowth)^1508</f>
        <v>2.8991775628162965E+42</v>
      </c>
      <c r="L1510" s="4">
        <f t="shared" si="94"/>
        <v>1.1382450965764368E+55</v>
      </c>
      <c r="M1510" s="4">
        <f t="shared" si="95"/>
        <v>1.9734697873633117E+67</v>
      </c>
    </row>
    <row r="1511" spans="1:13" x14ac:dyDescent="0.2">
      <c r="A1511" s="3">
        <f>StartYear+1509</f>
        <v>3534</v>
      </c>
      <c r="B1511" s="4">
        <f>FacultyFTE*HoursPerWeek*WeeksPerYear*RatePerHour*(1+PracticeGrowth)^1509</f>
        <v>2.7167194015542124E+37</v>
      </c>
      <c r="C1511" s="4">
        <f>StudentsY1*(1+StudentGrowth)^1509*CreditsPerStudent*TuitionPerCredit</f>
        <v>1.6979496259713828E+38</v>
      </c>
      <c r="D1511" s="4">
        <f>SimRevY1*(1+SimGrowth)^1509</f>
        <v>1.4472111774005965E+67</v>
      </c>
      <c r="E1511" s="4">
        <f>FacDevRevY1*(1+FacDevGrowth)^1509</f>
        <v>7.2360558870029824E+66</v>
      </c>
      <c r="F1511" s="4">
        <f t="shared" si="92"/>
        <v>2.1708167661008949E+67</v>
      </c>
      <c r="G1511" s="4">
        <f t="shared" si="93"/>
        <v>2.1708167661008949E+67</v>
      </c>
      <c r="H1511" s="4">
        <f>SalaryFTECount*SalaryPerFTE*(1+SalaryGrowth)^1509</f>
        <v>1.0605430361362046E+31</v>
      </c>
      <c r="I1511" s="4">
        <f>SimOpsY1*(1+SimOpsGrowth)^1509</f>
        <v>8.1953646953482565E+54</v>
      </c>
      <c r="J1511" s="4">
        <f>TrainDevY1*(1+TrainDevGrowth)^1509</f>
        <v>4.0976823476741282E+54</v>
      </c>
      <c r="K1511" s="4">
        <f>AdminY1*(1+AdminGrowth)^1509</f>
        <v>3.073128216585274E+42</v>
      </c>
      <c r="L1511" s="4">
        <f t="shared" si="94"/>
        <v>1.2293047043025459E+55</v>
      </c>
      <c r="M1511" s="4">
        <f t="shared" si="95"/>
        <v>2.1708167660996656E+67</v>
      </c>
    </row>
    <row r="1512" spans="1:13" x14ac:dyDescent="0.2">
      <c r="A1512" s="3">
        <f>StartYear+1510</f>
        <v>3535</v>
      </c>
      <c r="B1512" s="4">
        <f>FacultyFTE*HoursPerWeek*WeeksPerYear*RatePerHour*(1+PracticeGrowth)^1510</f>
        <v>2.8525553716319233E+37</v>
      </c>
      <c r="C1512" s="4">
        <f>StudentsY1*(1+StudentGrowth)^1510*CreditsPerStudent*TuitionPerCredit</f>
        <v>1.7828471072699518E+38</v>
      </c>
      <c r="D1512" s="4">
        <f>SimRevY1*(1+SimGrowth)^1510</f>
        <v>1.5919322951406563E+67</v>
      </c>
      <c r="E1512" s="4">
        <f>FacDevRevY1*(1+FacDevGrowth)^1510</f>
        <v>7.9596614757032817E+66</v>
      </c>
      <c r="F1512" s="4">
        <f t="shared" si="92"/>
        <v>2.3878984427109847E+67</v>
      </c>
      <c r="G1512" s="4">
        <f t="shared" si="93"/>
        <v>2.3878984427109847E+67</v>
      </c>
      <c r="H1512" s="4">
        <f>SalaryFTECount*SalaryPerFTE*(1+SalaryGrowth)^1510</f>
        <v>1.1029647575816527E+31</v>
      </c>
      <c r="I1512" s="4">
        <f>SimOpsY1*(1+SimOpsGrowth)^1510</f>
        <v>8.8509938709761189E+54</v>
      </c>
      <c r="J1512" s="4">
        <f>TrainDevY1*(1+TrainDevGrowth)^1510</f>
        <v>4.4254969354880594E+54</v>
      </c>
      <c r="K1512" s="4">
        <f>AdminY1*(1+AdminGrowth)^1510</f>
        <v>3.2575159095803912E+42</v>
      </c>
      <c r="L1512" s="4">
        <f t="shared" si="94"/>
        <v>1.3276490806467438E+55</v>
      </c>
      <c r="M1512" s="4">
        <f t="shared" si="95"/>
        <v>2.3878984427096569E+67</v>
      </c>
    </row>
    <row r="1513" spans="1:13" x14ac:dyDescent="0.2">
      <c r="A1513" s="3">
        <f>StartYear+1511</f>
        <v>3536</v>
      </c>
      <c r="B1513" s="4">
        <f>FacultyFTE*HoursPerWeek*WeeksPerYear*RatePerHour*(1+PracticeGrowth)^1511</f>
        <v>2.9951831402135198E+37</v>
      </c>
      <c r="C1513" s="4">
        <f>StudentsY1*(1+StudentGrowth)^1511*CreditsPerStudent*TuitionPerCredit</f>
        <v>1.87198946263345E+38</v>
      </c>
      <c r="D1513" s="4">
        <f>SimRevY1*(1+SimGrowth)^1511</f>
        <v>1.7511255246547221E+67</v>
      </c>
      <c r="E1513" s="4">
        <f>FacDevRevY1*(1+FacDevGrowth)^1511</f>
        <v>8.7556276232736107E+66</v>
      </c>
      <c r="F1513" s="4">
        <f t="shared" si="92"/>
        <v>2.6266882869820832E+67</v>
      </c>
      <c r="G1513" s="4">
        <f t="shared" si="93"/>
        <v>2.6266882869820832E+67</v>
      </c>
      <c r="H1513" s="4">
        <f>SalaryFTECount*SalaryPerFTE*(1+SalaryGrowth)^1511</f>
        <v>1.1470833478849191E+31</v>
      </c>
      <c r="I1513" s="4">
        <f>SimOpsY1*(1+SimOpsGrowth)^1511</f>
        <v>9.5590733806542071E+54</v>
      </c>
      <c r="J1513" s="4">
        <f>TrainDevY1*(1+TrainDevGrowth)^1511</f>
        <v>4.7795366903271036E+54</v>
      </c>
      <c r="K1513" s="4">
        <f>AdminY1*(1+AdminGrowth)^1511</f>
        <v>3.4529668641552152E+42</v>
      </c>
      <c r="L1513" s="4">
        <f t="shared" si="94"/>
        <v>1.4338610070984763E+55</v>
      </c>
      <c r="M1513" s="4">
        <f t="shared" si="95"/>
        <v>2.6266882869806495E+67</v>
      </c>
    </row>
    <row r="1514" spans="1:13" x14ac:dyDescent="0.2">
      <c r="A1514" s="3">
        <f>StartYear+1512</f>
        <v>3537</v>
      </c>
      <c r="B1514" s="4">
        <f>FacultyFTE*HoursPerWeek*WeeksPerYear*RatePerHour*(1+PracticeGrowth)^1512</f>
        <v>3.1449422972241958E+37</v>
      </c>
      <c r="C1514" s="4">
        <f>StudentsY1*(1+StudentGrowth)^1512*CreditsPerStudent*TuitionPerCredit</f>
        <v>1.9655889357651225E+38</v>
      </c>
      <c r="D1514" s="4">
        <f>SimRevY1*(1+SimGrowth)^1512</f>
        <v>1.9262380771201944E+67</v>
      </c>
      <c r="E1514" s="4">
        <f>FacDevRevY1*(1+FacDevGrowth)^1512</f>
        <v>9.631190385600972E+66</v>
      </c>
      <c r="F1514" s="4">
        <f t="shared" si="92"/>
        <v>2.8893571156802918E+67</v>
      </c>
      <c r="G1514" s="4">
        <f t="shared" si="93"/>
        <v>2.8893571156802918E+67</v>
      </c>
      <c r="H1514" s="4">
        <f>SalaryFTECount*SalaryPerFTE*(1+SalaryGrowth)^1512</f>
        <v>1.1929666818003162E+31</v>
      </c>
      <c r="I1514" s="4">
        <f>SimOpsY1*(1+SimOpsGrowth)^1512</f>
        <v>1.0323799251106545E+55</v>
      </c>
      <c r="J1514" s="4">
        <f>TrainDevY1*(1+TrainDevGrowth)^1512</f>
        <v>5.1618996255532723E+54</v>
      </c>
      <c r="K1514" s="4">
        <f>AdminY1*(1+AdminGrowth)^1512</f>
        <v>3.6601448760045274E+42</v>
      </c>
      <c r="L1514" s="4">
        <f t="shared" si="94"/>
        <v>1.5485698876663479E+55</v>
      </c>
      <c r="M1514" s="4">
        <f t="shared" si="95"/>
        <v>2.8893571156787431E+67</v>
      </c>
    </row>
    <row r="1515" spans="1:13" x14ac:dyDescent="0.2">
      <c r="A1515" s="3">
        <f>StartYear+1513</f>
        <v>3538</v>
      </c>
      <c r="B1515" s="4">
        <f>FacultyFTE*HoursPerWeek*WeeksPerYear*RatePerHour*(1+PracticeGrowth)^1513</f>
        <v>3.3021894120854056E+37</v>
      </c>
      <c r="C1515" s="4">
        <f>StudentsY1*(1+StudentGrowth)^1513*CreditsPerStudent*TuitionPerCredit</f>
        <v>2.0638683825533788E+38</v>
      </c>
      <c r="D1515" s="4">
        <f>SimRevY1*(1+SimGrowth)^1513</f>
        <v>2.1188618848322135E+67</v>
      </c>
      <c r="E1515" s="4">
        <f>FacDevRevY1*(1+FacDevGrowth)^1513</f>
        <v>1.0594309424161068E+67</v>
      </c>
      <c r="F1515" s="4">
        <f t="shared" si="92"/>
        <v>3.17829282724832E+67</v>
      </c>
      <c r="G1515" s="4">
        <f t="shared" si="93"/>
        <v>3.17829282724832E+67</v>
      </c>
      <c r="H1515" s="4">
        <f>SalaryFTECount*SalaryPerFTE*(1+SalaryGrowth)^1513</f>
        <v>1.2406853490723288E+31</v>
      </c>
      <c r="I1515" s="4">
        <f>SimOpsY1*(1+SimOpsGrowth)^1513</f>
        <v>1.1149703191195069E+55</v>
      </c>
      <c r="J1515" s="4">
        <f>TrainDevY1*(1+TrainDevGrowth)^1513</f>
        <v>5.5748515955975346E+54</v>
      </c>
      <c r="K1515" s="4">
        <f>AdminY1*(1+AdminGrowth)^1513</f>
        <v>3.8797535685647994E+42</v>
      </c>
      <c r="L1515" s="4">
        <f t="shared" si="94"/>
        <v>1.6724554786796484E+55</v>
      </c>
      <c r="M1515" s="4">
        <f t="shared" si="95"/>
        <v>3.1782928272466474E+67</v>
      </c>
    </row>
    <row r="1516" spans="1:13" x14ac:dyDescent="0.2">
      <c r="A1516" s="3">
        <f>StartYear+1514</f>
        <v>3539</v>
      </c>
      <c r="B1516" s="4">
        <f>FacultyFTE*HoursPerWeek*WeeksPerYear*RatePerHour*(1+PracticeGrowth)^1514</f>
        <v>3.4672988826896764E+37</v>
      </c>
      <c r="C1516" s="4">
        <f>StudentsY1*(1+StudentGrowth)^1514*CreditsPerStudent*TuitionPerCredit</f>
        <v>2.1670618016810478E+38</v>
      </c>
      <c r="D1516" s="4">
        <f>SimRevY1*(1+SimGrowth)^1514</f>
        <v>2.3307480733154358E+67</v>
      </c>
      <c r="E1516" s="4">
        <f>FacDevRevY1*(1+FacDevGrowth)^1514</f>
        <v>1.1653740366577179E+67</v>
      </c>
      <c r="F1516" s="4">
        <f t="shared" si="92"/>
        <v>3.4961221099731539E+67</v>
      </c>
      <c r="G1516" s="4">
        <f t="shared" si="93"/>
        <v>3.4961221099731539E+67</v>
      </c>
      <c r="H1516" s="4">
        <f>SalaryFTECount*SalaryPerFTE*(1+SalaryGrowth)^1514</f>
        <v>1.2903127630352217E+31</v>
      </c>
      <c r="I1516" s="4">
        <f>SimOpsY1*(1+SimOpsGrowth)^1514</f>
        <v>1.2041679446490672E+55</v>
      </c>
      <c r="J1516" s="4">
        <f>TrainDevY1*(1+TrainDevGrowth)^1514</f>
        <v>6.0208397232453361E+54</v>
      </c>
      <c r="K1516" s="4">
        <f>AdminY1*(1+AdminGrowth)^1514</f>
        <v>4.1125387826786873E+42</v>
      </c>
      <c r="L1516" s="4">
        <f t="shared" si="94"/>
        <v>1.8062519169740121E+55</v>
      </c>
      <c r="M1516" s="4">
        <f t="shared" si="95"/>
        <v>3.4961221099713478E+67</v>
      </c>
    </row>
    <row r="1517" spans="1:13" x14ac:dyDescent="0.2">
      <c r="A1517" s="3">
        <f>StartYear+1515</f>
        <v>3540</v>
      </c>
      <c r="B1517" s="4">
        <f>FacultyFTE*HoursPerWeek*WeeksPerYear*RatePerHour*(1+PracticeGrowth)^1515</f>
        <v>3.6406638268241605E+37</v>
      </c>
      <c r="C1517" s="4">
        <f>StudentsY1*(1+StudentGrowth)^1515*CreditsPerStudent*TuitionPerCredit</f>
        <v>2.2754148917651004E+38</v>
      </c>
      <c r="D1517" s="4">
        <f>SimRevY1*(1+SimGrowth)^1515</f>
        <v>2.563822880646979E+67</v>
      </c>
      <c r="E1517" s="4">
        <f>FacDevRevY1*(1+FacDevGrowth)^1515</f>
        <v>1.2819114403234895E+67</v>
      </c>
      <c r="F1517" s="4">
        <f t="shared" si="92"/>
        <v>3.8457343209704687E+67</v>
      </c>
      <c r="G1517" s="4">
        <f t="shared" si="93"/>
        <v>3.8457343209704687E+67</v>
      </c>
      <c r="H1517" s="4">
        <f>SalaryFTECount*SalaryPerFTE*(1+SalaryGrowth)^1515</f>
        <v>1.3419252735566308E+31</v>
      </c>
      <c r="I1517" s="4">
        <f>SimOpsY1*(1+SimOpsGrowth)^1515</f>
        <v>1.3005013802209928E+55</v>
      </c>
      <c r="J1517" s="4">
        <f>TrainDevY1*(1+TrainDevGrowth)^1515</f>
        <v>6.5025069011049639E+54</v>
      </c>
      <c r="K1517" s="4">
        <f>AdminY1*(1+AdminGrowth)^1515</f>
        <v>4.3592911096394096E+42</v>
      </c>
      <c r="L1517" s="4">
        <f t="shared" si="94"/>
        <v>1.950752070331925E+55</v>
      </c>
      <c r="M1517" s="4">
        <f t="shared" si="95"/>
        <v>3.8457343209685177E+67</v>
      </c>
    </row>
    <row r="1518" spans="1:13" x14ac:dyDescent="0.2">
      <c r="A1518" s="3">
        <f>StartYear+1516</f>
        <v>3541</v>
      </c>
      <c r="B1518" s="4">
        <f>FacultyFTE*HoursPerWeek*WeeksPerYear*RatePerHour*(1+PracticeGrowth)^1516</f>
        <v>3.8226970181653674E+37</v>
      </c>
      <c r="C1518" s="4">
        <f>StudentsY1*(1+StudentGrowth)^1516*CreditsPerStudent*TuitionPerCredit</f>
        <v>2.3891856363533547E+38</v>
      </c>
      <c r="D1518" s="4">
        <f>SimRevY1*(1+SimGrowth)^1516</f>
        <v>2.8202051687116772E+67</v>
      </c>
      <c r="E1518" s="4">
        <f>FacDevRevY1*(1+FacDevGrowth)^1516</f>
        <v>1.4101025843558386E+67</v>
      </c>
      <c r="F1518" s="4">
        <f t="shared" si="92"/>
        <v>4.2303077530675155E+67</v>
      </c>
      <c r="G1518" s="4">
        <f t="shared" si="93"/>
        <v>4.2303077530675155E+67</v>
      </c>
      <c r="H1518" s="4">
        <f>SalaryFTECount*SalaryPerFTE*(1+SalaryGrowth)^1516</f>
        <v>1.395602284498896E+31</v>
      </c>
      <c r="I1518" s="4">
        <f>SimOpsY1*(1+SimOpsGrowth)^1516</f>
        <v>1.4045414906386724E+55</v>
      </c>
      <c r="J1518" s="4">
        <f>TrainDevY1*(1+TrainDevGrowth)^1516</f>
        <v>7.0227074531933621E+54</v>
      </c>
      <c r="K1518" s="4">
        <f>AdminY1*(1+AdminGrowth)^1516</f>
        <v>4.6208485762177742E+42</v>
      </c>
      <c r="L1518" s="4">
        <f t="shared" si="94"/>
        <v>2.1068122359584706E+55</v>
      </c>
      <c r="M1518" s="4">
        <f t="shared" si="95"/>
        <v>4.2303077530654089E+67</v>
      </c>
    </row>
    <row r="1519" spans="1:13" x14ac:dyDescent="0.2">
      <c r="A1519" s="3">
        <f>StartYear+1517</f>
        <v>3542</v>
      </c>
      <c r="B1519" s="4">
        <f>FacultyFTE*HoursPerWeek*WeeksPerYear*RatePerHour*(1+PracticeGrowth)^1517</f>
        <v>4.0138318690736369E+37</v>
      </c>
      <c r="C1519" s="4">
        <f>StudentsY1*(1+StudentGrowth)^1517*CreditsPerStudent*TuitionPerCredit</f>
        <v>2.5086449181710231E+38</v>
      </c>
      <c r="D1519" s="4">
        <f>SimRevY1*(1+SimGrowth)^1517</f>
        <v>3.1022256855828454E+67</v>
      </c>
      <c r="E1519" s="4">
        <f>FacDevRevY1*(1+FacDevGrowth)^1517</f>
        <v>1.5511128427914227E+67</v>
      </c>
      <c r="F1519" s="4">
        <f t="shared" si="92"/>
        <v>4.6533385283742679E+67</v>
      </c>
      <c r="G1519" s="4">
        <f t="shared" si="93"/>
        <v>4.6533385283742679E+67</v>
      </c>
      <c r="H1519" s="4">
        <f>SalaryFTECount*SalaryPerFTE*(1+SalaryGrowth)^1517</f>
        <v>1.4514263758788518E+31</v>
      </c>
      <c r="I1519" s="4">
        <f>SimOpsY1*(1+SimOpsGrowth)^1517</f>
        <v>1.5169048098897663E+55</v>
      </c>
      <c r="J1519" s="4">
        <f>TrainDevY1*(1+TrainDevGrowth)^1517</f>
        <v>7.5845240494488317E+54</v>
      </c>
      <c r="K1519" s="4">
        <f>AdminY1*(1+AdminGrowth)^1517</f>
        <v>4.8980994907908417E+42</v>
      </c>
      <c r="L1519" s="4">
        <f t="shared" si="94"/>
        <v>2.2753572148351394E+55</v>
      </c>
      <c r="M1519" s="4">
        <f t="shared" si="95"/>
        <v>4.6533385283719925E+67</v>
      </c>
    </row>
    <row r="1520" spans="1:13" x14ac:dyDescent="0.2">
      <c r="A1520" s="3">
        <f>StartYear+1518</f>
        <v>3543</v>
      </c>
      <c r="B1520" s="4">
        <f>FacultyFTE*HoursPerWeek*WeeksPerYear*RatePerHour*(1+PracticeGrowth)^1518</f>
        <v>4.2145234625273173E+37</v>
      </c>
      <c r="C1520" s="4">
        <f>StudentsY1*(1+StudentGrowth)^1518*CreditsPerStudent*TuitionPerCredit</f>
        <v>2.6340771640795737E+38</v>
      </c>
      <c r="D1520" s="4">
        <f>SimRevY1*(1+SimGrowth)^1518</f>
        <v>3.4124482541411304E+67</v>
      </c>
      <c r="E1520" s="4">
        <f>FacDevRevY1*(1+FacDevGrowth)^1518</f>
        <v>1.7062241270705652E+67</v>
      </c>
      <c r="F1520" s="4">
        <f t="shared" si="92"/>
        <v>5.1186723812116956E+67</v>
      </c>
      <c r="G1520" s="4">
        <f t="shared" si="93"/>
        <v>5.1186723812116956E+67</v>
      </c>
      <c r="H1520" s="4">
        <f>SalaryFTECount*SalaryPerFTE*(1+SalaryGrowth)^1518</f>
        <v>1.5094834309140062E+31</v>
      </c>
      <c r="I1520" s="4">
        <f>SimOpsY1*(1+SimOpsGrowth)^1518</f>
        <v>1.6382571946809476E+55</v>
      </c>
      <c r="J1520" s="4">
        <f>TrainDevY1*(1+TrainDevGrowth)^1518</f>
        <v>8.1912859734047381E+54</v>
      </c>
      <c r="K1520" s="4">
        <f>AdminY1*(1+AdminGrowth)^1518</f>
        <v>5.191985460238292E+42</v>
      </c>
      <c r="L1520" s="4">
        <f t="shared" si="94"/>
        <v>2.457385792021941E+55</v>
      </c>
      <c r="M1520" s="4">
        <f t="shared" si="95"/>
        <v>5.1186723812092382E+67</v>
      </c>
    </row>
    <row r="1521" spans="1:13" x14ac:dyDescent="0.2">
      <c r="A1521" s="3">
        <f>StartYear+1519</f>
        <v>3544</v>
      </c>
      <c r="B1521" s="4">
        <f>FacultyFTE*HoursPerWeek*WeeksPerYear*RatePerHour*(1+PracticeGrowth)^1519</f>
        <v>4.4252496356536855E+37</v>
      </c>
      <c r="C1521" s="4">
        <f>StudentsY1*(1+StudentGrowth)^1519*CreditsPerStudent*TuitionPerCredit</f>
        <v>2.7657810222835534E+38</v>
      </c>
      <c r="D1521" s="4">
        <f>SimRevY1*(1+SimGrowth)^1519</f>
        <v>3.7536930795552437E+67</v>
      </c>
      <c r="E1521" s="4">
        <f>FacDevRevY1*(1+FacDevGrowth)^1519</f>
        <v>1.8768465397776218E+67</v>
      </c>
      <c r="F1521" s="4">
        <f t="shared" si="92"/>
        <v>5.6305396193328658E+67</v>
      </c>
      <c r="G1521" s="4">
        <f t="shared" si="93"/>
        <v>5.6305396193328658E+67</v>
      </c>
      <c r="H1521" s="4">
        <f>SalaryFTECount*SalaryPerFTE*(1+SalaryGrowth)^1519</f>
        <v>1.5698627681505662E+31</v>
      </c>
      <c r="I1521" s="4">
        <f>SimOpsY1*(1+SimOpsGrowth)^1519</f>
        <v>1.7693177702554238E+55</v>
      </c>
      <c r="J1521" s="4">
        <f>TrainDevY1*(1+TrainDevGrowth)^1519</f>
        <v>8.846588851277119E+54</v>
      </c>
      <c r="K1521" s="4">
        <f>AdminY1*(1+AdminGrowth)^1519</f>
        <v>5.5035045878525901E+42</v>
      </c>
      <c r="L1521" s="4">
        <f t="shared" si="94"/>
        <v>2.6539766553836859E+55</v>
      </c>
      <c r="M1521" s="4">
        <f t="shared" si="95"/>
        <v>5.6305396193302115E+67</v>
      </c>
    </row>
    <row r="1522" spans="1:13" x14ac:dyDescent="0.2">
      <c r="A1522" s="3">
        <f>StartYear+1520</f>
        <v>3545</v>
      </c>
      <c r="B1522" s="4">
        <f>FacultyFTE*HoursPerWeek*WeeksPerYear*RatePerHour*(1+PracticeGrowth)^1520</f>
        <v>4.6465121174363698E+37</v>
      </c>
      <c r="C1522" s="4">
        <f>StudentsY1*(1+StudentGrowth)^1520*CreditsPerStudent*TuitionPerCredit</f>
        <v>2.9040700733977311E+38</v>
      </c>
      <c r="D1522" s="4">
        <f>SimRevY1*(1+SimGrowth)^1520</f>
        <v>4.1290623875107684E+67</v>
      </c>
      <c r="E1522" s="4">
        <f>FacDevRevY1*(1+FacDevGrowth)^1520</f>
        <v>2.0645311937553842E+67</v>
      </c>
      <c r="F1522" s="4">
        <f t="shared" si="92"/>
        <v>6.1935935812661525E+67</v>
      </c>
      <c r="G1522" s="4">
        <f t="shared" si="93"/>
        <v>6.1935935812661525E+67</v>
      </c>
      <c r="H1522" s="4">
        <f>SalaryFTECount*SalaryPerFTE*(1+SalaryGrowth)^1520</f>
        <v>1.6326572788765891E+31</v>
      </c>
      <c r="I1522" s="4">
        <f>SimOpsY1*(1+SimOpsGrowth)^1520</f>
        <v>1.9108631918758577E+55</v>
      </c>
      <c r="J1522" s="4">
        <f>TrainDevY1*(1+TrainDevGrowth)^1520</f>
        <v>9.5543159593792883E+54</v>
      </c>
      <c r="K1522" s="4">
        <f>AdminY1*(1+AdminGrowth)^1520</f>
        <v>5.8337148631237436E+42</v>
      </c>
      <c r="L1522" s="4">
        <f t="shared" si="94"/>
        <v>2.8662947878143693E+55</v>
      </c>
      <c r="M1522" s="4">
        <f t="shared" si="95"/>
        <v>6.1935935812632863E+67</v>
      </c>
    </row>
    <row r="1523" spans="1:13" x14ac:dyDescent="0.2">
      <c r="A1523" s="3">
        <f>StartYear+1521</f>
        <v>3546</v>
      </c>
      <c r="B1523" s="4">
        <f>FacultyFTE*HoursPerWeek*WeeksPerYear*RatePerHour*(1+PracticeGrowth)^1521</f>
        <v>4.878837723308188E+37</v>
      </c>
      <c r="C1523" s="4">
        <f>StudentsY1*(1+StudentGrowth)^1521*CreditsPerStudent*TuitionPerCredit</f>
        <v>3.0492735770676172E+38</v>
      </c>
      <c r="D1523" s="4">
        <f>SimRevY1*(1+SimGrowth)^1521</f>
        <v>4.5419686262618452E+67</v>
      </c>
      <c r="E1523" s="4">
        <f>FacDevRevY1*(1+FacDevGrowth)^1521</f>
        <v>2.2709843131309226E+67</v>
      </c>
      <c r="F1523" s="4">
        <f t="shared" si="92"/>
        <v>6.8129529393927684E+67</v>
      </c>
      <c r="G1523" s="4">
        <f t="shared" si="93"/>
        <v>6.8129529393927684E+67</v>
      </c>
      <c r="H1523" s="4">
        <f>SalaryFTECount*SalaryPerFTE*(1+SalaryGrowth)^1521</f>
        <v>1.6979635700316525E+31</v>
      </c>
      <c r="I1523" s="4">
        <f>SimOpsY1*(1+SimOpsGrowth)^1521</f>
        <v>2.0637322472259263E+55</v>
      </c>
      <c r="J1523" s="4">
        <f>TrainDevY1*(1+TrainDevGrowth)^1521</f>
        <v>1.0318661236129632E+55</v>
      </c>
      <c r="K1523" s="4">
        <f>AdminY1*(1+AdminGrowth)^1521</f>
        <v>6.1837377549111693E+42</v>
      </c>
      <c r="L1523" s="4">
        <f t="shared" si="94"/>
        <v>3.0955983708395081E+55</v>
      </c>
      <c r="M1523" s="4">
        <f t="shared" si="95"/>
        <v>6.8129529393896723E+67</v>
      </c>
    </row>
    <row r="1524" spans="1:13" x14ac:dyDescent="0.2">
      <c r="A1524" s="3">
        <f>StartYear+1522</f>
        <v>3547</v>
      </c>
      <c r="B1524" s="4">
        <f>FacultyFTE*HoursPerWeek*WeeksPerYear*RatePerHour*(1+PracticeGrowth)^1522</f>
        <v>5.1227796094735968E+37</v>
      </c>
      <c r="C1524" s="4">
        <f>StudentsY1*(1+StudentGrowth)^1522*CreditsPerStudent*TuitionPerCredit</f>
        <v>3.2017372559209982E+38</v>
      </c>
      <c r="D1524" s="4">
        <f>SimRevY1*(1+SimGrowth)^1522</f>
        <v>4.9961654888880292E+67</v>
      </c>
      <c r="E1524" s="4">
        <f>FacDevRevY1*(1+FacDevGrowth)^1522</f>
        <v>2.4980827444440146E+67</v>
      </c>
      <c r="F1524" s="4">
        <f t="shared" si="92"/>
        <v>7.4942482333320436E+67</v>
      </c>
      <c r="G1524" s="4">
        <f t="shared" si="93"/>
        <v>7.4942482333320436E+67</v>
      </c>
      <c r="H1524" s="4">
        <f>SalaryFTECount*SalaryPerFTE*(1+SalaryGrowth)^1522</f>
        <v>1.765882112832919E+31</v>
      </c>
      <c r="I1524" s="4">
        <f>SimOpsY1*(1+SimOpsGrowth)^1522</f>
        <v>2.2288308270040009E+55</v>
      </c>
      <c r="J1524" s="4">
        <f>TrainDevY1*(1+TrainDevGrowth)^1522</f>
        <v>1.1144154135020005E+55</v>
      </c>
      <c r="K1524" s="4">
        <f>AdminY1*(1+AdminGrowth)^1522</f>
        <v>6.5547620202058409E+42</v>
      </c>
      <c r="L1524" s="4">
        <f t="shared" si="94"/>
        <v>3.3432462405066569E+55</v>
      </c>
      <c r="M1524" s="4">
        <f t="shared" si="95"/>
        <v>7.4942482333287008E+67</v>
      </c>
    </row>
    <row r="1525" spans="1:13" x14ac:dyDescent="0.2">
      <c r="A1525" s="3">
        <f>StartYear+1523</f>
        <v>3548</v>
      </c>
      <c r="B1525" s="4">
        <f>FacultyFTE*HoursPerWeek*WeeksPerYear*RatePerHour*(1+PracticeGrowth)^1523</f>
        <v>5.3789185899472767E+37</v>
      </c>
      <c r="C1525" s="4">
        <f>StudentsY1*(1+StudentGrowth)^1523*CreditsPerStudent*TuitionPerCredit</f>
        <v>3.3618241187170481E+38</v>
      </c>
      <c r="D1525" s="4">
        <f>SimRevY1*(1+SimGrowth)^1523</f>
        <v>5.4957820377768328E+67</v>
      </c>
      <c r="E1525" s="4">
        <f>FacDevRevY1*(1+FacDevGrowth)^1523</f>
        <v>2.7478910188884164E+67</v>
      </c>
      <c r="F1525" s="4">
        <f t="shared" si="92"/>
        <v>8.2436730566652492E+67</v>
      </c>
      <c r="G1525" s="4">
        <f t="shared" si="93"/>
        <v>8.2436730566652492E+67</v>
      </c>
      <c r="H1525" s="4">
        <f>SalaryFTECount*SalaryPerFTE*(1+SalaryGrowth)^1523</f>
        <v>1.8365173973462357E+31</v>
      </c>
      <c r="I1525" s="4">
        <f>SimOpsY1*(1+SimOpsGrowth)^1523</f>
        <v>2.4071372931643211E+55</v>
      </c>
      <c r="J1525" s="4">
        <f>TrainDevY1*(1+TrainDevGrowth)^1523</f>
        <v>1.2035686465821605E+55</v>
      </c>
      <c r="K1525" s="4">
        <f>AdminY1*(1+AdminGrowth)^1523</f>
        <v>6.94804774141819E+42</v>
      </c>
      <c r="L1525" s="4">
        <f t="shared" si="94"/>
        <v>3.6107059397471762E+55</v>
      </c>
      <c r="M1525" s="4">
        <f t="shared" si="95"/>
        <v>8.2436730566616383E+67</v>
      </c>
    </row>
    <row r="1526" spans="1:13" x14ac:dyDescent="0.2">
      <c r="A1526" s="3">
        <f>StartYear+1524</f>
        <v>3549</v>
      </c>
      <c r="B1526" s="4">
        <f>FacultyFTE*HoursPerWeek*WeeksPerYear*RatePerHour*(1+PracticeGrowth)^1524</f>
        <v>5.6478645194446423E+37</v>
      </c>
      <c r="C1526" s="4">
        <f>StudentsY1*(1+StudentGrowth)^1524*CreditsPerStudent*TuitionPerCredit</f>
        <v>3.5299153246529011E+38</v>
      </c>
      <c r="D1526" s="4">
        <f>SimRevY1*(1+SimGrowth)^1524</f>
        <v>6.0453602415545168E+67</v>
      </c>
      <c r="E1526" s="4">
        <f>FacDevRevY1*(1+FacDevGrowth)^1524</f>
        <v>3.0226801207772584E+67</v>
      </c>
      <c r="F1526" s="4">
        <f t="shared" si="92"/>
        <v>9.0680403623317752E+67</v>
      </c>
      <c r="G1526" s="4">
        <f t="shared" si="93"/>
        <v>9.0680403623317752E+67</v>
      </c>
      <c r="H1526" s="4">
        <f>SalaryFTECount*SalaryPerFTE*(1+SalaryGrowth)^1524</f>
        <v>1.9099780932400853E+31</v>
      </c>
      <c r="I1526" s="4">
        <f>SimOpsY1*(1+SimOpsGrowth)^1524</f>
        <v>2.5997082766174665E+55</v>
      </c>
      <c r="J1526" s="4">
        <f>TrainDevY1*(1+TrainDevGrowth)^1524</f>
        <v>1.2998541383087333E+55</v>
      </c>
      <c r="K1526" s="4">
        <f>AdminY1*(1+AdminGrowth)^1524</f>
        <v>7.3649306059032831E+42</v>
      </c>
      <c r="L1526" s="4">
        <f t="shared" si="94"/>
        <v>3.8995624149269364E+55</v>
      </c>
      <c r="M1526" s="4">
        <f t="shared" si="95"/>
        <v>9.0680403623278758E+67</v>
      </c>
    </row>
    <row r="1527" spans="1:13" x14ac:dyDescent="0.2">
      <c r="A1527" s="3">
        <f>StartYear+1525</f>
        <v>3550</v>
      </c>
      <c r="B1527" s="4">
        <f>FacultyFTE*HoursPerWeek*WeeksPerYear*RatePerHour*(1+PracticeGrowth)^1525</f>
        <v>5.9302577454168708E+37</v>
      </c>
      <c r="C1527" s="4">
        <f>StudentsY1*(1+StudentGrowth)^1525*CreditsPerStudent*TuitionPerCredit</f>
        <v>3.7064110908855442E+38</v>
      </c>
      <c r="D1527" s="4">
        <f>SimRevY1*(1+SimGrowth)^1525</f>
        <v>6.6498962657099685E+67</v>
      </c>
      <c r="E1527" s="4">
        <f>FacDevRevY1*(1+FacDevGrowth)^1525</f>
        <v>3.3249481328549843E+67</v>
      </c>
      <c r="F1527" s="4">
        <f t="shared" si="92"/>
        <v>9.9748443985649522E+67</v>
      </c>
      <c r="G1527" s="4">
        <f t="shared" si="93"/>
        <v>9.9748443985649522E+67</v>
      </c>
      <c r="H1527" s="4">
        <f>SalaryFTECount*SalaryPerFTE*(1+SalaryGrowth)^1525</f>
        <v>1.9863772169696893E+31</v>
      </c>
      <c r="I1527" s="4">
        <f>SimOpsY1*(1+SimOpsGrowth)^1525</f>
        <v>2.8076849387468638E+55</v>
      </c>
      <c r="J1527" s="4">
        <f>TrainDevY1*(1+TrainDevGrowth)^1525</f>
        <v>1.4038424693734319E+55</v>
      </c>
      <c r="K1527" s="4">
        <f>AdminY1*(1+AdminGrowth)^1525</f>
        <v>7.8068264422574821E+42</v>
      </c>
      <c r="L1527" s="4">
        <f t="shared" si="94"/>
        <v>4.2115274081210764E+55</v>
      </c>
      <c r="M1527" s="4">
        <f t="shared" si="95"/>
        <v>9.9748443985607402E+67</v>
      </c>
    </row>
    <row r="1528" spans="1:13" x14ac:dyDescent="0.2">
      <c r="A1528" s="3">
        <f>StartYear+1526</f>
        <v>3551</v>
      </c>
      <c r="B1528" s="4">
        <f>FacultyFTE*HoursPerWeek*WeeksPerYear*RatePerHour*(1+PracticeGrowth)^1526</f>
        <v>6.2267706326877154E+37</v>
      </c>
      <c r="C1528" s="4">
        <f>StudentsY1*(1+StudentGrowth)^1526*CreditsPerStudent*TuitionPerCredit</f>
        <v>3.891731645429822E+38</v>
      </c>
      <c r="D1528" s="4">
        <f>SimRevY1*(1+SimGrowth)^1526</f>
        <v>7.3148858922809681E+67</v>
      </c>
      <c r="E1528" s="4">
        <f>FacDevRevY1*(1+FacDevGrowth)^1526</f>
        <v>3.6574429461404841E+67</v>
      </c>
      <c r="F1528" s="4">
        <f t="shared" si="92"/>
        <v>1.0972328838421452E+68</v>
      </c>
      <c r="G1528" s="4">
        <f t="shared" si="93"/>
        <v>1.0972328838421452E+68</v>
      </c>
      <c r="H1528" s="4">
        <f>SalaryFTECount*SalaryPerFTE*(1+SalaryGrowth)^1526</f>
        <v>2.065832305648477E+31</v>
      </c>
      <c r="I1528" s="4">
        <f>SimOpsY1*(1+SimOpsGrowth)^1526</f>
        <v>3.032299733846613E+55</v>
      </c>
      <c r="J1528" s="4">
        <f>TrainDevY1*(1+TrainDevGrowth)^1526</f>
        <v>1.5161498669233065E+55</v>
      </c>
      <c r="K1528" s="4">
        <f>AdminY1*(1+AdminGrowth)^1526</f>
        <v>8.2752360287929305E+42</v>
      </c>
      <c r="L1528" s="4">
        <f t="shared" si="94"/>
        <v>4.548449600770747E+55</v>
      </c>
      <c r="M1528" s="4">
        <f t="shared" si="95"/>
        <v>1.0972328838416903E+68</v>
      </c>
    </row>
    <row r="1529" spans="1:13" x14ac:dyDescent="0.2">
      <c r="A1529" s="3">
        <f>StartYear+1527</f>
        <v>3552</v>
      </c>
      <c r="B1529" s="4">
        <f>FacultyFTE*HoursPerWeek*WeeksPerYear*RatePerHour*(1+PracticeGrowth)^1527</f>
        <v>6.5381091643221021E+37</v>
      </c>
      <c r="C1529" s="4">
        <f>StudentsY1*(1+StudentGrowth)^1527*CreditsPerStudent*TuitionPerCredit</f>
        <v>4.0863182277013143E+38</v>
      </c>
      <c r="D1529" s="4">
        <f>SimRevY1*(1+SimGrowth)^1527</f>
        <v>8.0463744815090652E+67</v>
      </c>
      <c r="E1529" s="4">
        <f>FacDevRevY1*(1+FacDevGrowth)^1527</f>
        <v>4.0231872407545326E+67</v>
      </c>
      <c r="F1529" s="4">
        <f t="shared" si="92"/>
        <v>1.2069561722263598E+68</v>
      </c>
      <c r="G1529" s="4">
        <f t="shared" si="93"/>
        <v>1.2069561722263598E+68</v>
      </c>
      <c r="H1529" s="4">
        <f>SalaryFTECount*SalaryPerFTE*(1+SalaryGrowth)^1527</f>
        <v>2.1484655978744156E+31</v>
      </c>
      <c r="I1529" s="4">
        <f>SimOpsY1*(1+SimOpsGrowth)^1527</f>
        <v>3.2748837125543423E+55</v>
      </c>
      <c r="J1529" s="4">
        <f>TrainDevY1*(1+TrainDevGrowth)^1527</f>
        <v>1.6374418562771712E+55</v>
      </c>
      <c r="K1529" s="4">
        <f>AdminY1*(1+AdminGrowth)^1527</f>
        <v>8.7717501905205069E+42</v>
      </c>
      <c r="L1529" s="4">
        <f t="shared" si="94"/>
        <v>4.9123255688323906E+55</v>
      </c>
      <c r="M1529" s="4">
        <f t="shared" si="95"/>
        <v>1.2069561722258687E+68</v>
      </c>
    </row>
    <row r="1530" spans="1:13" x14ac:dyDescent="0.2">
      <c r="A1530" s="3">
        <f>StartYear+1528</f>
        <v>3553</v>
      </c>
      <c r="B1530" s="4">
        <f>FacultyFTE*HoursPerWeek*WeeksPerYear*RatePerHour*(1+PracticeGrowth)^1528</f>
        <v>6.8650146225382079E+37</v>
      </c>
      <c r="C1530" s="4">
        <f>StudentsY1*(1+StudentGrowth)^1528*CreditsPerStudent*TuitionPerCredit</f>
        <v>4.2906341390863793E+38</v>
      </c>
      <c r="D1530" s="4">
        <f>SimRevY1*(1+SimGrowth)^1528</f>
        <v>8.8510119296599689E+67</v>
      </c>
      <c r="E1530" s="4">
        <f>FacDevRevY1*(1+FacDevGrowth)^1528</f>
        <v>4.4255059648299845E+67</v>
      </c>
      <c r="F1530" s="4">
        <f t="shared" si="92"/>
        <v>1.3276517894489953E+68</v>
      </c>
      <c r="G1530" s="4">
        <f t="shared" si="93"/>
        <v>1.3276517894489953E+68</v>
      </c>
      <c r="H1530" s="4">
        <f>SalaryFTECount*SalaryPerFTE*(1+SalaryGrowth)^1528</f>
        <v>2.2344042217893921E+31</v>
      </c>
      <c r="I1530" s="4">
        <f>SimOpsY1*(1+SimOpsGrowth)^1528</f>
        <v>3.5368744095586899E+55</v>
      </c>
      <c r="J1530" s="4">
        <f>TrainDevY1*(1+TrainDevGrowth)^1528</f>
        <v>1.7684372047793449E+55</v>
      </c>
      <c r="K1530" s="4">
        <f>AdminY1*(1+AdminGrowth)^1528</f>
        <v>9.2980552019517345E+42</v>
      </c>
      <c r="L1530" s="4">
        <f t="shared" si="94"/>
        <v>5.3053116143389653E+55</v>
      </c>
      <c r="M1530" s="4">
        <f t="shared" si="95"/>
        <v>1.3276517894484647E+68</v>
      </c>
    </row>
    <row r="1531" spans="1:13" x14ac:dyDescent="0.2">
      <c r="A1531" s="3">
        <f>StartYear+1529</f>
        <v>3554</v>
      </c>
      <c r="B1531" s="4">
        <f>FacultyFTE*HoursPerWeek*WeeksPerYear*RatePerHour*(1+PracticeGrowth)^1529</f>
        <v>7.2082653536651189E+37</v>
      </c>
      <c r="C1531" s="4">
        <f>StudentsY1*(1+StudentGrowth)^1529*CreditsPerStudent*TuitionPerCredit</f>
        <v>4.5051658460406995E+38</v>
      </c>
      <c r="D1531" s="4">
        <f>SimRevY1*(1+SimGrowth)^1529</f>
        <v>9.7361131226259694E+67</v>
      </c>
      <c r="E1531" s="4">
        <f>FacDevRevY1*(1+FacDevGrowth)^1529</f>
        <v>4.8680565613129847E+67</v>
      </c>
      <c r="F1531" s="4">
        <f t="shared" si="92"/>
        <v>1.4604169683938954E+68</v>
      </c>
      <c r="G1531" s="4">
        <f t="shared" si="93"/>
        <v>1.4604169683938954E+68</v>
      </c>
      <c r="H1531" s="4">
        <f>SalaryFTECount*SalaryPerFTE*(1+SalaryGrowth)^1529</f>
        <v>2.3237803906609691E+31</v>
      </c>
      <c r="I1531" s="4">
        <f>SimOpsY1*(1+SimOpsGrowth)^1529</f>
        <v>3.8198243623233855E+55</v>
      </c>
      <c r="J1531" s="4">
        <f>TrainDevY1*(1+TrainDevGrowth)^1529</f>
        <v>1.9099121811616928E+55</v>
      </c>
      <c r="K1531" s="4">
        <f>AdminY1*(1+AdminGrowth)^1529</f>
        <v>9.8559385140688392E+42</v>
      </c>
      <c r="L1531" s="4">
        <f t="shared" si="94"/>
        <v>5.7297365434860643E+55</v>
      </c>
      <c r="M1531" s="4">
        <f t="shared" si="95"/>
        <v>1.4604169683933223E+68</v>
      </c>
    </row>
    <row r="1532" spans="1:13" x14ac:dyDescent="0.2">
      <c r="A1532" s="3">
        <f>StartYear+1530</f>
        <v>3555</v>
      </c>
      <c r="B1532" s="4">
        <f>FacultyFTE*HoursPerWeek*WeeksPerYear*RatePerHour*(1+PracticeGrowth)^1530</f>
        <v>7.5686786213483751E+37</v>
      </c>
      <c r="C1532" s="4">
        <f>StudentsY1*(1+StudentGrowth)^1530*CreditsPerStudent*TuitionPerCredit</f>
        <v>4.7304241383427345E+38</v>
      </c>
      <c r="D1532" s="4">
        <f>SimRevY1*(1+SimGrowth)^1530</f>
        <v>1.0709724434888564E+68</v>
      </c>
      <c r="E1532" s="4">
        <f>FacDevRevY1*(1+FacDevGrowth)^1530</f>
        <v>5.354862217444282E+67</v>
      </c>
      <c r="F1532" s="4">
        <f t="shared" si="92"/>
        <v>1.6064586652332847E+68</v>
      </c>
      <c r="G1532" s="4">
        <f t="shared" si="93"/>
        <v>1.6064586652332847E+68</v>
      </c>
      <c r="H1532" s="4">
        <f>SalaryFTECount*SalaryPerFTE*(1+SalaryGrowth)^1530</f>
        <v>2.4167316062874066E+31</v>
      </c>
      <c r="I1532" s="4">
        <f>SimOpsY1*(1+SimOpsGrowth)^1530</f>
        <v>4.1254103113092559E+55</v>
      </c>
      <c r="J1532" s="4">
        <f>TrainDevY1*(1+TrainDevGrowth)^1530</f>
        <v>2.062705155654628E+55</v>
      </c>
      <c r="K1532" s="4">
        <f>AdminY1*(1+AdminGrowth)^1530</f>
        <v>1.0447294824912971E+43</v>
      </c>
      <c r="L1532" s="4">
        <f t="shared" si="94"/>
        <v>6.1881154669649287E+55</v>
      </c>
      <c r="M1532" s="4">
        <f t="shared" si="95"/>
        <v>1.6064586652326659E+68</v>
      </c>
    </row>
    <row r="1533" spans="1:13" x14ac:dyDescent="0.2">
      <c r="A1533" s="3">
        <f>StartYear+1531</f>
        <v>3556</v>
      </c>
      <c r="B1533" s="4">
        <f>FacultyFTE*HoursPerWeek*WeeksPerYear*RatePerHour*(1+PracticeGrowth)^1531</f>
        <v>7.9471125524157928E+37</v>
      </c>
      <c r="C1533" s="4">
        <f>StudentsY1*(1+StudentGrowth)^1531*CreditsPerStudent*TuitionPerCredit</f>
        <v>4.9669453452598707E+38</v>
      </c>
      <c r="D1533" s="4">
        <f>SimRevY1*(1+SimGrowth)^1531</f>
        <v>1.1780696878377423E+68</v>
      </c>
      <c r="E1533" s="4">
        <f>FacDevRevY1*(1+FacDevGrowth)^1531</f>
        <v>5.8903484391887115E+67</v>
      </c>
      <c r="F1533" s="4">
        <f t="shared" si="92"/>
        <v>1.7671045317566134E+68</v>
      </c>
      <c r="G1533" s="4">
        <f t="shared" si="93"/>
        <v>1.7671045317566134E+68</v>
      </c>
      <c r="H1533" s="4">
        <f>SalaryFTECount*SalaryPerFTE*(1+SalaryGrowth)^1531</f>
        <v>2.5134008705389026E+31</v>
      </c>
      <c r="I1533" s="4">
        <f>SimOpsY1*(1+SimOpsGrowth)^1531</f>
        <v>4.4554431362139961E+55</v>
      </c>
      <c r="J1533" s="4">
        <f>TrainDevY1*(1+TrainDevGrowth)^1531</f>
        <v>2.227721568106998E+55</v>
      </c>
      <c r="K1533" s="4">
        <f>AdminY1*(1+AdminGrowth)^1531</f>
        <v>1.1074132514407752E+43</v>
      </c>
      <c r="L1533" s="4">
        <f t="shared" si="94"/>
        <v>6.6831647043221012E+55</v>
      </c>
      <c r="M1533" s="4">
        <f t="shared" si="95"/>
        <v>1.7671045317559451E+68</v>
      </c>
    </row>
    <row r="1534" spans="1:13" x14ac:dyDescent="0.2">
      <c r="A1534" s="3">
        <f>StartYear+1532</f>
        <v>3557</v>
      </c>
      <c r="B1534" s="4">
        <f>FacultyFTE*HoursPerWeek*WeeksPerYear*RatePerHour*(1+PracticeGrowth)^1532</f>
        <v>8.3444681800365819E+37</v>
      </c>
      <c r="C1534" s="4">
        <f>StudentsY1*(1+StudentGrowth)^1532*CreditsPerStudent*TuitionPerCredit</f>
        <v>5.2152926125228638E+38</v>
      </c>
      <c r="D1534" s="4">
        <f>SimRevY1*(1+SimGrowth)^1532</f>
        <v>1.2958766566215163E+68</v>
      </c>
      <c r="E1534" s="4">
        <f>FacDevRevY1*(1+FacDevGrowth)^1532</f>
        <v>6.4793832831075817E+67</v>
      </c>
      <c r="F1534" s="4">
        <f t="shared" si="92"/>
        <v>1.9438149849322746E+68</v>
      </c>
      <c r="G1534" s="4">
        <f t="shared" si="93"/>
        <v>1.9438149849322746E+68</v>
      </c>
      <c r="H1534" s="4">
        <f>SalaryFTECount*SalaryPerFTE*(1+SalaryGrowth)^1532</f>
        <v>2.61393690536046E+31</v>
      </c>
      <c r="I1534" s="4">
        <f>SimOpsY1*(1+SimOpsGrowth)^1532</f>
        <v>4.8118785871111168E+55</v>
      </c>
      <c r="J1534" s="4">
        <f>TrainDevY1*(1+TrainDevGrowth)^1532</f>
        <v>2.4059392935555584E+55</v>
      </c>
      <c r="K1534" s="4">
        <f>AdminY1*(1+AdminGrowth)^1532</f>
        <v>1.1738580465272213E+43</v>
      </c>
      <c r="L1534" s="4">
        <f t="shared" si="94"/>
        <v>7.2178178806678488E+55</v>
      </c>
      <c r="M1534" s="4">
        <f t="shared" si="95"/>
        <v>1.9438149849315529E+68</v>
      </c>
    </row>
    <row r="1535" spans="1:13" x14ac:dyDescent="0.2">
      <c r="A1535" s="3">
        <f>StartYear+1533</f>
        <v>3558</v>
      </c>
      <c r="B1535" s="4">
        <f>FacultyFTE*HoursPerWeek*WeeksPerYear*RatePerHour*(1+PracticeGrowth)^1533</f>
        <v>8.7616915890384128E+37</v>
      </c>
      <c r="C1535" s="4">
        <f>StudentsY1*(1+StudentGrowth)^1533*CreditsPerStudent*TuitionPerCredit</f>
        <v>5.4760572431490075E+38</v>
      </c>
      <c r="D1535" s="4">
        <f>SimRevY1*(1+SimGrowth)^1533</f>
        <v>1.4254643222836685E+68</v>
      </c>
      <c r="E1535" s="4">
        <f>FacDevRevY1*(1+FacDevGrowth)^1533</f>
        <v>7.1273216114183426E+67</v>
      </c>
      <c r="F1535" s="4">
        <f t="shared" si="92"/>
        <v>2.1381964834255027E+68</v>
      </c>
      <c r="G1535" s="4">
        <f t="shared" si="93"/>
        <v>2.1381964834255027E+68</v>
      </c>
      <c r="H1535" s="4">
        <f>SalaryFTECount*SalaryPerFTE*(1+SalaryGrowth)^1533</f>
        <v>2.7184943815748785E+31</v>
      </c>
      <c r="I1535" s="4">
        <f>SimOpsY1*(1+SimOpsGrowth)^1533</f>
        <v>5.1968288740800062E+55</v>
      </c>
      <c r="J1535" s="4">
        <f>TrainDevY1*(1+TrainDevGrowth)^1533</f>
        <v>2.5984144370400031E+55</v>
      </c>
      <c r="K1535" s="4">
        <f>AdminY1*(1+AdminGrowth)^1533</f>
        <v>1.2442895293188555E+43</v>
      </c>
      <c r="L1535" s="4">
        <f t="shared" si="94"/>
        <v>7.7952433111212539E+55</v>
      </c>
      <c r="M1535" s="4">
        <f t="shared" si="95"/>
        <v>2.1381964834247232E+68</v>
      </c>
    </row>
    <row r="1536" spans="1:13" x14ac:dyDescent="0.2">
      <c r="A1536" s="3">
        <f>StartYear+1534</f>
        <v>3559</v>
      </c>
      <c r="B1536" s="4">
        <f>FacultyFTE*HoursPerWeek*WeeksPerYear*RatePerHour*(1+PracticeGrowth)^1534</f>
        <v>9.1997761684903293E+37</v>
      </c>
      <c r="C1536" s="4">
        <f>StudentsY1*(1+StudentGrowth)^1534*CreditsPerStudent*TuitionPerCredit</f>
        <v>5.7498601053064554E+38</v>
      </c>
      <c r="D1536" s="4">
        <f>SimRevY1*(1+SimGrowth)^1534</f>
        <v>1.5680107545120358E+68</v>
      </c>
      <c r="E1536" s="4">
        <f>FacDevRevY1*(1+FacDevGrowth)^1534</f>
        <v>7.8400537725601791E+67</v>
      </c>
      <c r="F1536" s="4">
        <f t="shared" si="92"/>
        <v>2.3520161317680537E+68</v>
      </c>
      <c r="G1536" s="4">
        <f t="shared" si="93"/>
        <v>2.3520161317680537E+68</v>
      </c>
      <c r="H1536" s="4">
        <f>SalaryFTECount*SalaryPerFTE*(1+SalaryGrowth)^1534</f>
        <v>2.8272341568378729E+31</v>
      </c>
      <c r="I1536" s="4">
        <f>SimOpsY1*(1+SimOpsGrowth)^1534</f>
        <v>5.612575184006408E+55</v>
      </c>
      <c r="J1536" s="4">
        <f>TrainDevY1*(1+TrainDevGrowth)^1534</f>
        <v>2.806287592003204E+55</v>
      </c>
      <c r="K1536" s="4">
        <f>AdminY1*(1+AdminGrowth)^1534</f>
        <v>1.3189469010779865E+43</v>
      </c>
      <c r="L1536" s="4">
        <f t="shared" si="94"/>
        <v>8.4188627760109312E+55</v>
      </c>
      <c r="M1536" s="4">
        <f t="shared" si="95"/>
        <v>2.3520161317672118E+68</v>
      </c>
    </row>
    <row r="1537" spans="1:13" x14ac:dyDescent="0.2">
      <c r="A1537" s="3">
        <f>StartYear+1535</f>
        <v>3560</v>
      </c>
      <c r="B1537" s="4">
        <f>FacultyFTE*HoursPerWeek*WeeksPerYear*RatePerHour*(1+PracticeGrowth)^1535</f>
        <v>9.6597649769148506E+37</v>
      </c>
      <c r="C1537" s="4">
        <f>StudentsY1*(1+StudentGrowth)^1535*CreditsPerStudent*TuitionPerCredit</f>
        <v>6.0373531105717806E+38</v>
      </c>
      <c r="D1537" s="4">
        <f>SimRevY1*(1+SimGrowth)^1535</f>
        <v>1.7248118299632392E+68</v>
      </c>
      <c r="E1537" s="4">
        <f>FacDevRevY1*(1+FacDevGrowth)^1535</f>
        <v>8.6240591498161959E+67</v>
      </c>
      <c r="F1537" s="4">
        <f t="shared" si="92"/>
        <v>2.5872177449448586E+68</v>
      </c>
      <c r="G1537" s="4">
        <f t="shared" si="93"/>
        <v>2.5872177449448586E+68</v>
      </c>
      <c r="H1537" s="4">
        <f>SalaryFTECount*SalaryPerFTE*(1+SalaryGrowth)^1535</f>
        <v>2.9403235231113884E+31</v>
      </c>
      <c r="I1537" s="4">
        <f>SimOpsY1*(1+SimOpsGrowth)^1535</f>
        <v>6.0615811987269219E+55</v>
      </c>
      <c r="J1537" s="4">
        <f>TrainDevY1*(1+TrainDevGrowth)^1535</f>
        <v>3.030790599363461E+55</v>
      </c>
      <c r="K1537" s="4">
        <f>AdminY1*(1+AdminGrowth)^1535</f>
        <v>1.3980837151426661E+43</v>
      </c>
      <c r="L1537" s="4">
        <f t="shared" si="94"/>
        <v>9.092371798091781E+55</v>
      </c>
      <c r="M1537" s="4">
        <f t="shared" si="95"/>
        <v>2.5872177449439492E+68</v>
      </c>
    </row>
    <row r="1538" spans="1:13" x14ac:dyDescent="0.2">
      <c r="A1538" s="3">
        <f>StartYear+1536</f>
        <v>3561</v>
      </c>
      <c r="B1538" s="4">
        <f>FacultyFTE*HoursPerWeek*WeeksPerYear*RatePerHour*(1+PracticeGrowth)^1536</f>
        <v>1.014275322576059E+38</v>
      </c>
      <c r="C1538" s="4">
        <f>StudentsY1*(1+StudentGrowth)^1536*CreditsPerStudent*TuitionPerCredit</f>
        <v>6.3392207661003693E+38</v>
      </c>
      <c r="D1538" s="4">
        <f>SimRevY1*(1+SimGrowth)^1536</f>
        <v>1.897293012959563E+68</v>
      </c>
      <c r="E1538" s="4">
        <f>FacDevRevY1*(1+FacDevGrowth)^1536</f>
        <v>9.4864650647978149E+67</v>
      </c>
      <c r="F1538" s="4">
        <f t="shared" ref="F1538:F1601" si="96">C1538+D1538+E1538</f>
        <v>2.8459395194393445E+68</v>
      </c>
      <c r="G1538" s="4">
        <f t="shared" ref="G1538:G1601" si="97">B1538+F1538</f>
        <v>2.8459395194393445E+68</v>
      </c>
      <c r="H1538" s="4">
        <f>SalaryFTECount*SalaryPerFTE*(1+SalaryGrowth)^1536</f>
        <v>3.0579364640358445E+31</v>
      </c>
      <c r="I1538" s="4">
        <f>SimOpsY1*(1+SimOpsGrowth)^1536</f>
        <v>6.5465076946250741E+55</v>
      </c>
      <c r="J1538" s="4">
        <f>TrainDevY1*(1+TrainDevGrowth)^1536</f>
        <v>3.2732538473125371E+55</v>
      </c>
      <c r="K1538" s="4">
        <f>AdminY1*(1+AdminGrowth)^1536</f>
        <v>1.4819687380512258E+43</v>
      </c>
      <c r="L1538" s="4">
        <f t="shared" ref="L1538:L1601" si="98">SUM(H1538:K1538)</f>
        <v>9.8197615419390927E+55</v>
      </c>
      <c r="M1538" s="4">
        <f t="shared" ref="M1538:M1601" si="99">G1538-L1538</f>
        <v>2.8459395194383627E+68</v>
      </c>
    </row>
    <row r="1539" spans="1:13" x14ac:dyDescent="0.2">
      <c r="A1539" s="3">
        <f>StartYear+1537</f>
        <v>3562</v>
      </c>
      <c r="B1539" s="4">
        <f>FacultyFTE*HoursPerWeek*WeeksPerYear*RatePerHour*(1+PracticeGrowth)^1537</f>
        <v>1.0649890887048621E+38</v>
      </c>
      <c r="C1539" s="4">
        <f>StudentsY1*(1+StudentGrowth)^1537*CreditsPerStudent*TuitionPerCredit</f>
        <v>6.6561818044053884E+38</v>
      </c>
      <c r="D1539" s="4">
        <f>SimRevY1*(1+SimGrowth)^1537</f>
        <v>2.0870223142555196E+68</v>
      </c>
      <c r="E1539" s="4">
        <f>FacDevRevY1*(1+FacDevGrowth)^1537</f>
        <v>1.0435111571277598E+68</v>
      </c>
      <c r="F1539" s="4">
        <f t="shared" si="96"/>
        <v>3.1305334713832793E+68</v>
      </c>
      <c r="G1539" s="4">
        <f t="shared" si="97"/>
        <v>3.1305334713832793E+68</v>
      </c>
      <c r="H1539" s="4">
        <f>SalaryFTECount*SalaryPerFTE*(1+SalaryGrowth)^1537</f>
        <v>3.1802539225972785E+31</v>
      </c>
      <c r="I1539" s="4">
        <f>SimOpsY1*(1+SimOpsGrowth)^1537</f>
        <v>7.0702283101950815E+55</v>
      </c>
      <c r="J1539" s="4">
        <f>TrainDevY1*(1+TrainDevGrowth)^1537</f>
        <v>3.5351141550975407E+55</v>
      </c>
      <c r="K1539" s="4">
        <f>AdminY1*(1+AdminGrowth)^1537</f>
        <v>1.5708868623342988E+43</v>
      </c>
      <c r="L1539" s="4">
        <f t="shared" si="98"/>
        <v>1.0605342465294192E+56</v>
      </c>
      <c r="M1539" s="4">
        <f t="shared" si="99"/>
        <v>3.130533471382219E+68</v>
      </c>
    </row>
    <row r="1540" spans="1:13" x14ac:dyDescent="0.2">
      <c r="A1540" s="3">
        <f>StartYear+1538</f>
        <v>3563</v>
      </c>
      <c r="B1540" s="4">
        <f>FacultyFTE*HoursPerWeek*WeeksPerYear*RatePerHour*(1+PracticeGrowth)^1538</f>
        <v>1.118238543140105E+38</v>
      </c>
      <c r="C1540" s="4">
        <f>StudentsY1*(1+StudentGrowth)^1538*CreditsPerStudent*TuitionPerCredit</f>
        <v>6.9889908946256554E+38</v>
      </c>
      <c r="D1540" s="4">
        <f>SimRevY1*(1+SimGrowth)^1538</f>
        <v>2.2957245456810714E+68</v>
      </c>
      <c r="E1540" s="4">
        <f>FacDevRevY1*(1+FacDevGrowth)^1538</f>
        <v>1.1478622728405357E+68</v>
      </c>
      <c r="F1540" s="4">
        <f t="shared" si="96"/>
        <v>3.4435868185216074E+68</v>
      </c>
      <c r="G1540" s="4">
        <f t="shared" si="97"/>
        <v>3.4435868185216074E+68</v>
      </c>
      <c r="H1540" s="4">
        <f>SalaryFTECount*SalaryPerFTE*(1+SalaryGrowth)^1538</f>
        <v>3.3074640795011694E+31</v>
      </c>
      <c r="I1540" s="4">
        <f>SimOpsY1*(1+SimOpsGrowth)^1538</f>
        <v>7.6358465750106881E+55</v>
      </c>
      <c r="J1540" s="4">
        <f>TrainDevY1*(1+TrainDevGrowth)^1538</f>
        <v>3.8179232875053441E+55</v>
      </c>
      <c r="K1540" s="4">
        <f>AdminY1*(1+AdminGrowth)^1538</f>
        <v>1.6651400740743572E+43</v>
      </c>
      <c r="L1540" s="4">
        <f t="shared" si="98"/>
        <v>1.1453769862517698E+56</v>
      </c>
      <c r="M1540" s="4">
        <f t="shared" si="99"/>
        <v>3.4435868185204618E+68</v>
      </c>
    </row>
    <row r="1541" spans="1:13" x14ac:dyDescent="0.2">
      <c r="A1541" s="3">
        <f>StartYear+1539</f>
        <v>3564</v>
      </c>
      <c r="B1541" s="4">
        <f>FacultyFTE*HoursPerWeek*WeeksPerYear*RatePerHour*(1+PracticeGrowth)^1539</f>
        <v>1.1741504702971105E+38</v>
      </c>
      <c r="C1541" s="4">
        <f>StudentsY1*(1+StudentGrowth)^1539*CreditsPerStudent*TuitionPerCredit</f>
        <v>7.3384404393569407E+38</v>
      </c>
      <c r="D1541" s="4">
        <f>SimRevY1*(1+SimGrowth)^1539</f>
        <v>2.5252970002491793E+68</v>
      </c>
      <c r="E1541" s="4">
        <f>FacDevRevY1*(1+FacDevGrowth)^1539</f>
        <v>1.2626485001245896E+68</v>
      </c>
      <c r="F1541" s="4">
        <f t="shared" si="96"/>
        <v>3.7879455003737692E+68</v>
      </c>
      <c r="G1541" s="4">
        <f t="shared" si="97"/>
        <v>3.7879455003737692E+68</v>
      </c>
      <c r="H1541" s="4">
        <f>SalaryFTECount*SalaryPerFTE*(1+SalaryGrowth)^1539</f>
        <v>3.4397626426812163E+31</v>
      </c>
      <c r="I1541" s="4">
        <f>SimOpsY1*(1+SimOpsGrowth)^1539</f>
        <v>8.2467143010115426E+55</v>
      </c>
      <c r="J1541" s="4">
        <f>TrainDevY1*(1+TrainDevGrowth)^1539</f>
        <v>4.1233571505057713E+55</v>
      </c>
      <c r="K1541" s="4">
        <f>AdminY1*(1+AdminGrowth)^1539</f>
        <v>1.7650484785188188E+43</v>
      </c>
      <c r="L1541" s="4">
        <f t="shared" si="98"/>
        <v>1.2370071451519077E+56</v>
      </c>
      <c r="M1541" s="4">
        <f t="shared" si="99"/>
        <v>3.7879455003725321E+68</v>
      </c>
    </row>
    <row r="1542" spans="1:13" x14ac:dyDescent="0.2">
      <c r="A1542" s="3">
        <f>StartYear+1540</f>
        <v>3565</v>
      </c>
      <c r="B1542" s="4">
        <f>FacultyFTE*HoursPerWeek*WeeksPerYear*RatePerHour*(1+PracticeGrowth)^1540</f>
        <v>1.2328579938119661E+38</v>
      </c>
      <c r="C1542" s="4">
        <f>StudentsY1*(1+StudentGrowth)^1540*CreditsPerStudent*TuitionPerCredit</f>
        <v>7.7053624613247872E+38</v>
      </c>
      <c r="D1542" s="4">
        <f>SimRevY1*(1+SimGrowth)^1540</f>
        <v>2.7778267002740964E+68</v>
      </c>
      <c r="E1542" s="4">
        <f>FacDevRevY1*(1+FacDevGrowth)^1540</f>
        <v>1.3889133501370482E+68</v>
      </c>
      <c r="F1542" s="4">
        <f t="shared" si="96"/>
        <v>4.1667400504111443E+68</v>
      </c>
      <c r="G1542" s="4">
        <f t="shared" si="97"/>
        <v>4.1667400504111443E+68</v>
      </c>
      <c r="H1542" s="4">
        <f>SalaryFTECount*SalaryPerFTE*(1+SalaryGrowth)^1540</f>
        <v>3.5773531483884649E+31</v>
      </c>
      <c r="I1542" s="4">
        <f>SimOpsY1*(1+SimOpsGrowth)^1540</f>
        <v>8.9064514450924667E+55</v>
      </c>
      <c r="J1542" s="4">
        <f>TrainDevY1*(1+TrainDevGrowth)^1540</f>
        <v>4.4532257225462334E+55</v>
      </c>
      <c r="K1542" s="4">
        <f>AdminY1*(1+AdminGrowth)^1540</f>
        <v>1.8709513872299481E+43</v>
      </c>
      <c r="L1542" s="4">
        <f t="shared" si="98"/>
        <v>1.3359677167640571E+56</v>
      </c>
      <c r="M1542" s="4">
        <f t="shared" si="99"/>
        <v>4.1667400504098082E+68</v>
      </c>
    </row>
    <row r="1543" spans="1:13" x14ac:dyDescent="0.2">
      <c r="A1543" s="3">
        <f>StartYear+1541</f>
        <v>3566</v>
      </c>
      <c r="B1543" s="4">
        <f>FacultyFTE*HoursPerWeek*WeeksPerYear*RatePerHour*(1+PracticeGrowth)^1541</f>
        <v>1.2945008935025645E+38</v>
      </c>
      <c r="C1543" s="4">
        <f>StudentsY1*(1+StudentGrowth)^1541*CreditsPerStudent*TuitionPerCredit</f>
        <v>8.0906305843910285E+38</v>
      </c>
      <c r="D1543" s="4">
        <f>SimRevY1*(1+SimGrowth)^1541</f>
        <v>3.0556093703015069E+68</v>
      </c>
      <c r="E1543" s="4">
        <f>FacDevRevY1*(1+FacDevGrowth)^1541</f>
        <v>1.5278046851507535E+68</v>
      </c>
      <c r="F1543" s="4">
        <f t="shared" si="96"/>
        <v>4.5834140554522609E+68</v>
      </c>
      <c r="G1543" s="4">
        <f t="shared" si="97"/>
        <v>4.5834140554522609E+68</v>
      </c>
      <c r="H1543" s="4">
        <f>SalaryFTECount*SalaryPerFTE*(1+SalaryGrowth)^1541</f>
        <v>3.7204472743240042E+31</v>
      </c>
      <c r="I1543" s="4">
        <f>SimOpsY1*(1+SimOpsGrowth)^1541</f>
        <v>9.6189675606998656E+55</v>
      </c>
      <c r="J1543" s="4">
        <f>TrainDevY1*(1+TrainDevGrowth)^1541</f>
        <v>4.8094837803499328E+55</v>
      </c>
      <c r="K1543" s="4">
        <f>AdminY1*(1+AdminGrowth)^1541</f>
        <v>1.9832084704637453E+43</v>
      </c>
      <c r="L1543" s="4">
        <f t="shared" si="98"/>
        <v>1.4428451341051783E+56</v>
      </c>
      <c r="M1543" s="4">
        <f t="shared" si="99"/>
        <v>4.5834140554508184E+68</v>
      </c>
    </row>
    <row r="1544" spans="1:13" x14ac:dyDescent="0.2">
      <c r="A1544" s="3">
        <f>StartYear+1542</f>
        <v>3567</v>
      </c>
      <c r="B1544" s="4">
        <f>FacultyFTE*HoursPerWeek*WeeksPerYear*RatePerHour*(1+PracticeGrowth)^1542</f>
        <v>1.3592259381776924E+38</v>
      </c>
      <c r="C1544" s="4">
        <f>StudentsY1*(1+StudentGrowth)^1542*CreditsPerStudent*TuitionPerCredit</f>
        <v>8.4951621136105766E+38</v>
      </c>
      <c r="D1544" s="4">
        <f>SimRevY1*(1+SimGrowth)^1542</f>
        <v>3.3611703073316573E+68</v>
      </c>
      <c r="E1544" s="4">
        <f>FacDevRevY1*(1+FacDevGrowth)^1542</f>
        <v>1.6805851536658287E+68</v>
      </c>
      <c r="F1544" s="4">
        <f t="shared" si="96"/>
        <v>5.041755460997486E+68</v>
      </c>
      <c r="G1544" s="4">
        <f t="shared" si="97"/>
        <v>5.041755460997486E+68</v>
      </c>
      <c r="H1544" s="4">
        <f>SalaryFTECount*SalaryPerFTE*(1+SalaryGrowth)^1542</f>
        <v>3.8692651652969648E+31</v>
      </c>
      <c r="I1544" s="4">
        <f>SimOpsY1*(1+SimOpsGrowth)^1542</f>
        <v>1.0388484965555855E+56</v>
      </c>
      <c r="J1544" s="4">
        <f>TrainDevY1*(1+TrainDevGrowth)^1542</f>
        <v>5.1942424827779276E+55</v>
      </c>
      <c r="K1544" s="4">
        <f>AdminY1*(1+AdminGrowth)^1542</f>
        <v>2.1022009786915698E+43</v>
      </c>
      <c r="L1544" s="4">
        <f t="shared" si="98"/>
        <v>1.5582727448335883E+56</v>
      </c>
      <c r="M1544" s="4">
        <f t="shared" si="99"/>
        <v>5.0417554609959277E+68</v>
      </c>
    </row>
    <row r="1545" spans="1:13" x14ac:dyDescent="0.2">
      <c r="A1545" s="3">
        <f>StartYear+1543</f>
        <v>3568</v>
      </c>
      <c r="B1545" s="4">
        <f>FacultyFTE*HoursPerWeek*WeeksPerYear*RatePerHour*(1+PracticeGrowth)^1543</f>
        <v>1.4271872350865772E+38</v>
      </c>
      <c r="C1545" s="4">
        <f>StudentsY1*(1+StudentGrowth)^1543*CreditsPerStudent*TuitionPerCredit</f>
        <v>8.9199202192911072E+38</v>
      </c>
      <c r="D1545" s="4">
        <f>SimRevY1*(1+SimGrowth)^1543</f>
        <v>3.6972873380648247E+68</v>
      </c>
      <c r="E1545" s="4">
        <f>FacDevRevY1*(1+FacDevGrowth)^1543</f>
        <v>1.8486436690324124E+68</v>
      </c>
      <c r="F1545" s="4">
        <f t="shared" si="96"/>
        <v>5.5459310070972368E+68</v>
      </c>
      <c r="G1545" s="4">
        <f t="shared" si="97"/>
        <v>5.5459310070972368E+68</v>
      </c>
      <c r="H1545" s="4">
        <f>SalaryFTECount*SalaryPerFTE*(1+SalaryGrowth)^1543</f>
        <v>4.0240357719088424E+31</v>
      </c>
      <c r="I1545" s="4">
        <f>SimOpsY1*(1+SimOpsGrowth)^1543</f>
        <v>1.1219563762800324E+56</v>
      </c>
      <c r="J1545" s="4">
        <f>TrainDevY1*(1+TrainDevGrowth)^1543</f>
        <v>5.6097818814001621E+55</v>
      </c>
      <c r="K1545" s="4">
        <f>AdminY1*(1+AdminGrowth)^1543</f>
        <v>2.2283330374130643E+43</v>
      </c>
      <c r="L1545" s="4">
        <f t="shared" si="98"/>
        <v>1.6829345644202715E+56</v>
      </c>
      <c r="M1545" s="4">
        <f t="shared" si="99"/>
        <v>5.5459310070955539E+68</v>
      </c>
    </row>
    <row r="1546" spans="1:13" x14ac:dyDescent="0.2">
      <c r="A1546" s="3">
        <f>StartYear+1544</f>
        <v>3569</v>
      </c>
      <c r="B1546" s="4">
        <f>FacultyFTE*HoursPerWeek*WeeksPerYear*RatePerHour*(1+PracticeGrowth)^1544</f>
        <v>1.4985465968409058E+38</v>
      </c>
      <c r="C1546" s="4">
        <f>StudentsY1*(1+StudentGrowth)^1544*CreditsPerStudent*TuitionPerCredit</f>
        <v>9.3659162302556623E+38</v>
      </c>
      <c r="D1546" s="4">
        <f>SimRevY1*(1+SimGrowth)^1544</f>
        <v>4.0670160718713064E+68</v>
      </c>
      <c r="E1546" s="4">
        <f>FacDevRevY1*(1+FacDevGrowth)^1544</f>
        <v>2.0335080359356532E+68</v>
      </c>
      <c r="F1546" s="4">
        <f t="shared" si="96"/>
        <v>6.1005241078069591E+68</v>
      </c>
      <c r="G1546" s="4">
        <f t="shared" si="97"/>
        <v>6.1005241078069591E+68</v>
      </c>
      <c r="H1546" s="4">
        <f>SalaryFTECount*SalaryPerFTE*(1+SalaryGrowth)^1544</f>
        <v>4.184997202785197E+31</v>
      </c>
      <c r="I1546" s="4">
        <f>SimOpsY1*(1+SimOpsGrowth)^1544</f>
        <v>1.2117128863824351E+56</v>
      </c>
      <c r="J1546" s="4">
        <f>TrainDevY1*(1+TrainDevGrowth)^1544</f>
        <v>6.0585644319121755E+55</v>
      </c>
      <c r="K1546" s="4">
        <f>AdminY1*(1+AdminGrowth)^1544</f>
        <v>2.3620330196578483E+43</v>
      </c>
      <c r="L1546" s="4">
        <f t="shared" si="98"/>
        <v>1.8175693295738889E+56</v>
      </c>
      <c r="M1546" s="4">
        <f t="shared" si="99"/>
        <v>6.1005241078051411E+68</v>
      </c>
    </row>
    <row r="1547" spans="1:13" x14ac:dyDescent="0.2">
      <c r="A1547" s="3">
        <f>StartYear+1545</f>
        <v>3570</v>
      </c>
      <c r="B1547" s="4">
        <f>FacultyFTE*HoursPerWeek*WeeksPerYear*RatePerHour*(1+PracticeGrowth)^1545</f>
        <v>1.5734739266829513E+38</v>
      </c>
      <c r="C1547" s="4">
        <f>StudentsY1*(1+StudentGrowth)^1545*CreditsPerStudent*TuitionPerCredit</f>
        <v>9.834212041768447E+38</v>
      </c>
      <c r="D1547" s="4">
        <f>SimRevY1*(1+SimGrowth)^1545</f>
        <v>4.4737176790584367E+68</v>
      </c>
      <c r="E1547" s="4">
        <f>FacDevRevY1*(1+FacDevGrowth)^1545</f>
        <v>2.2368588395292184E+68</v>
      </c>
      <c r="F1547" s="4">
        <f t="shared" si="96"/>
        <v>6.7105765185876555E+68</v>
      </c>
      <c r="G1547" s="4">
        <f t="shared" si="97"/>
        <v>6.7105765185876555E+68</v>
      </c>
      <c r="H1547" s="4">
        <f>SalaryFTECount*SalaryPerFTE*(1+SalaryGrowth)^1545</f>
        <v>4.3523970908966048E+31</v>
      </c>
      <c r="I1547" s="4">
        <f>SimOpsY1*(1+SimOpsGrowth)^1545</f>
        <v>1.3086499172930301E+56</v>
      </c>
      <c r="J1547" s="4">
        <f>TrainDevY1*(1+TrainDevGrowth)^1545</f>
        <v>6.5432495864651504E+55</v>
      </c>
      <c r="K1547" s="4">
        <f>AdminY1*(1+AdminGrowth)^1545</f>
        <v>2.5037550008373188E+43</v>
      </c>
      <c r="L1547" s="4">
        <f t="shared" si="98"/>
        <v>1.9629748759397954E+56</v>
      </c>
      <c r="M1547" s="4">
        <f t="shared" si="99"/>
        <v>6.710576518585693E+68</v>
      </c>
    </row>
    <row r="1548" spans="1:13" x14ac:dyDescent="0.2">
      <c r="A1548" s="3">
        <f>StartYear+1546</f>
        <v>3571</v>
      </c>
      <c r="B1548" s="4">
        <f>FacultyFTE*HoursPerWeek*WeeksPerYear*RatePerHour*(1+PracticeGrowth)^1546</f>
        <v>1.6521476230170989E+38</v>
      </c>
      <c r="C1548" s="4">
        <f>StudentsY1*(1+StudentGrowth)^1546*CreditsPerStudent*TuitionPerCredit</f>
        <v>1.0325922643856866E+39</v>
      </c>
      <c r="D1548" s="4">
        <f>SimRevY1*(1+SimGrowth)^1546</f>
        <v>4.9210894469642812E+68</v>
      </c>
      <c r="E1548" s="4">
        <f>FacDevRevY1*(1+FacDevGrowth)^1546</f>
        <v>2.4605447234821406E+68</v>
      </c>
      <c r="F1548" s="4">
        <f t="shared" si="96"/>
        <v>7.3816341704464219E+68</v>
      </c>
      <c r="G1548" s="4">
        <f t="shared" si="97"/>
        <v>7.3816341704464219E+68</v>
      </c>
      <c r="H1548" s="4">
        <f>SalaryFTECount*SalaryPerFTE*(1+SalaryGrowth)^1546</f>
        <v>4.5264929745324695E+31</v>
      </c>
      <c r="I1548" s="4">
        <f>SimOpsY1*(1+SimOpsGrowth)^1546</f>
        <v>1.4133419106764724E+56</v>
      </c>
      <c r="J1548" s="4">
        <f>TrainDevY1*(1+TrainDevGrowth)^1546</f>
        <v>7.066709553382362E+55</v>
      </c>
      <c r="K1548" s="4">
        <f>AdminY1*(1+AdminGrowth)^1546</f>
        <v>2.6539803008875584E+43</v>
      </c>
      <c r="L1548" s="4">
        <f t="shared" si="98"/>
        <v>2.120012866014974E+56</v>
      </c>
      <c r="M1548" s="4">
        <f t="shared" si="99"/>
        <v>7.3816341704443022E+68</v>
      </c>
    </row>
    <row r="1549" spans="1:13" x14ac:dyDescent="0.2">
      <c r="A1549" s="3">
        <f>StartYear+1547</f>
        <v>3572</v>
      </c>
      <c r="B1549" s="4">
        <f>FacultyFTE*HoursPerWeek*WeeksPerYear*RatePerHour*(1+PracticeGrowth)^1547</f>
        <v>1.7347550041679538E+38</v>
      </c>
      <c r="C1549" s="4">
        <f>StudentsY1*(1+StudentGrowth)^1547*CreditsPerStudent*TuitionPerCredit</f>
        <v>1.0842218776049712E+39</v>
      </c>
      <c r="D1549" s="4">
        <f>SimRevY1*(1+SimGrowth)^1547</f>
        <v>5.4131983916607107E+68</v>
      </c>
      <c r="E1549" s="4">
        <f>FacDevRevY1*(1+FacDevGrowth)^1547</f>
        <v>2.7065991958303554E+68</v>
      </c>
      <c r="F1549" s="4">
        <f t="shared" si="96"/>
        <v>8.1197975874910661E+68</v>
      </c>
      <c r="G1549" s="4">
        <f t="shared" si="97"/>
        <v>8.1197975874910661E+68</v>
      </c>
      <c r="H1549" s="4">
        <f>SalaryFTECount*SalaryPerFTE*(1+SalaryGrowth)^1547</f>
        <v>4.707552693513768E+31</v>
      </c>
      <c r="I1549" s="4">
        <f>SimOpsY1*(1+SimOpsGrowth)^1547</f>
        <v>1.5264092635305903E+56</v>
      </c>
      <c r="J1549" s="4">
        <f>TrainDevY1*(1+TrainDevGrowth)^1547</f>
        <v>7.6320463176529515E+55</v>
      </c>
      <c r="K1549" s="4">
        <f>AdminY1*(1+AdminGrowth)^1547</f>
        <v>2.8132191189408125E+43</v>
      </c>
      <c r="L1549" s="4">
        <f t="shared" si="98"/>
        <v>2.2896138952961666E+56</v>
      </c>
      <c r="M1549" s="4">
        <f t="shared" si="99"/>
        <v>8.1197975874887769E+68</v>
      </c>
    </row>
    <row r="1550" spans="1:13" x14ac:dyDescent="0.2">
      <c r="A1550" s="3">
        <f>StartYear+1548</f>
        <v>3573</v>
      </c>
      <c r="B1550" s="4">
        <f>FacultyFTE*HoursPerWeek*WeeksPerYear*RatePerHour*(1+PracticeGrowth)^1548</f>
        <v>1.8214927543763513E+38</v>
      </c>
      <c r="C1550" s="4">
        <f>StudentsY1*(1+StudentGrowth)^1548*CreditsPerStudent*TuitionPerCredit</f>
        <v>1.1384329714852195E+39</v>
      </c>
      <c r="D1550" s="4">
        <f>SimRevY1*(1+SimGrowth)^1548</f>
        <v>5.9545182308267808E+68</v>
      </c>
      <c r="E1550" s="4">
        <f>FacDevRevY1*(1+FacDevGrowth)^1548</f>
        <v>2.9772591154133904E+68</v>
      </c>
      <c r="F1550" s="4">
        <f t="shared" si="96"/>
        <v>8.9317773462401722E+68</v>
      </c>
      <c r="G1550" s="4">
        <f t="shared" si="97"/>
        <v>8.9317773462401722E+68</v>
      </c>
      <c r="H1550" s="4">
        <f>SalaryFTECount*SalaryPerFTE*(1+SalaryGrowth)^1548</f>
        <v>4.8958548012543193E+31</v>
      </c>
      <c r="I1550" s="4">
        <f>SimOpsY1*(1+SimOpsGrowth)^1548</f>
        <v>1.6485220046130375E+56</v>
      </c>
      <c r="J1550" s="4">
        <f>TrainDevY1*(1+TrainDevGrowth)^1548</f>
        <v>8.2426100230651877E+55</v>
      </c>
      <c r="K1550" s="4">
        <f>AdminY1*(1+AdminGrowth)^1548</f>
        <v>2.9820122660772609E+43</v>
      </c>
      <c r="L1550" s="4">
        <f t="shared" si="98"/>
        <v>2.4727830069198548E+56</v>
      </c>
      <c r="M1550" s="4">
        <f t="shared" si="99"/>
        <v>8.9317773462376991E+68</v>
      </c>
    </row>
    <row r="1551" spans="1:13" x14ac:dyDescent="0.2">
      <c r="A1551" s="3">
        <f>StartYear+1549</f>
        <v>3574</v>
      </c>
      <c r="B1551" s="4">
        <f>FacultyFTE*HoursPerWeek*WeeksPerYear*RatePerHour*(1+PracticeGrowth)^1549</f>
        <v>1.9125673920951692E+38</v>
      </c>
      <c r="C1551" s="4">
        <f>StudentsY1*(1+StudentGrowth)^1549*CreditsPerStudent*TuitionPerCredit</f>
        <v>1.1953546200594808E+39</v>
      </c>
      <c r="D1551" s="4">
        <f>SimRevY1*(1+SimGrowth)^1549</f>
        <v>6.5499700539094593E+68</v>
      </c>
      <c r="E1551" s="4">
        <f>FacDevRevY1*(1+FacDevGrowth)^1549</f>
        <v>3.2749850269547296E+68</v>
      </c>
      <c r="F1551" s="4">
        <f t="shared" si="96"/>
        <v>9.8249550808641894E+68</v>
      </c>
      <c r="G1551" s="4">
        <f t="shared" si="97"/>
        <v>9.8249550808641894E+68</v>
      </c>
      <c r="H1551" s="4">
        <f>SalaryFTECount*SalaryPerFTE*(1+SalaryGrowth)^1549</f>
        <v>5.0916889933044933E+31</v>
      </c>
      <c r="I1551" s="4">
        <f>SimOpsY1*(1+SimOpsGrowth)^1549</f>
        <v>1.7804037649820807E+56</v>
      </c>
      <c r="J1551" s="4">
        <f>TrainDevY1*(1+TrainDevGrowth)^1549</f>
        <v>8.9020188249104035E+55</v>
      </c>
      <c r="K1551" s="4">
        <f>AdminY1*(1+AdminGrowth)^1549</f>
        <v>3.1609330020418967E+43</v>
      </c>
      <c r="L1551" s="4">
        <f t="shared" si="98"/>
        <v>2.6706056474734373E+56</v>
      </c>
      <c r="M1551" s="4">
        <f t="shared" si="99"/>
        <v>9.824955080861519E+68</v>
      </c>
    </row>
    <row r="1552" spans="1:13" x14ac:dyDescent="0.2">
      <c r="A1552" s="3">
        <f>StartYear+1550</f>
        <v>3575</v>
      </c>
      <c r="B1552" s="4">
        <f>FacultyFTE*HoursPerWeek*WeeksPerYear*RatePerHour*(1+PracticeGrowth)^1550</f>
        <v>2.0081957616999275E+38</v>
      </c>
      <c r="C1552" s="4">
        <f>StudentsY1*(1+StudentGrowth)^1550*CreditsPerStudent*TuitionPerCredit</f>
        <v>1.2551223510624548E+39</v>
      </c>
      <c r="D1552" s="4">
        <f>SimRevY1*(1+SimGrowth)^1550</f>
        <v>7.2049670593004072E+68</v>
      </c>
      <c r="E1552" s="4">
        <f>FacDevRevY1*(1+FacDevGrowth)^1550</f>
        <v>3.6024835296502036E+68</v>
      </c>
      <c r="F1552" s="4">
        <f t="shared" si="96"/>
        <v>1.080745058895061E+69</v>
      </c>
      <c r="G1552" s="4">
        <f t="shared" si="97"/>
        <v>1.080745058895061E+69</v>
      </c>
      <c r="H1552" s="4">
        <f>SalaryFTECount*SalaryPerFTE*(1+SalaryGrowth)^1550</f>
        <v>5.2953565530366728E+31</v>
      </c>
      <c r="I1552" s="4">
        <f>SimOpsY1*(1+SimOpsGrowth)^1550</f>
        <v>1.9228360661806476E+56</v>
      </c>
      <c r="J1552" s="4">
        <f>TrainDevY1*(1+TrainDevGrowth)^1550</f>
        <v>9.6141803309032381E+55</v>
      </c>
      <c r="K1552" s="4">
        <f>AdminY1*(1+AdminGrowth)^1550</f>
        <v>3.3505889821644112E+43</v>
      </c>
      <c r="L1552" s="4">
        <f t="shared" si="98"/>
        <v>2.8842540992713062E+56</v>
      </c>
      <c r="M1552" s="4">
        <f t="shared" si="99"/>
        <v>1.0807450588947725E+69</v>
      </c>
    </row>
    <row r="1553" spans="1:13" x14ac:dyDescent="0.2">
      <c r="A1553" s="3">
        <f>StartYear+1551</f>
        <v>3576</v>
      </c>
      <c r="B1553" s="4">
        <f>FacultyFTE*HoursPerWeek*WeeksPerYear*RatePerHour*(1+PracticeGrowth)^1551</f>
        <v>2.1086055497849245E+38</v>
      </c>
      <c r="C1553" s="4">
        <f>StudentsY1*(1+StudentGrowth)^1551*CreditsPerStudent*TuitionPerCredit</f>
        <v>1.3178784686155777E+39</v>
      </c>
      <c r="D1553" s="4">
        <f>SimRevY1*(1+SimGrowth)^1551</f>
        <v>7.9254637652304478E+68</v>
      </c>
      <c r="E1553" s="4">
        <f>FacDevRevY1*(1+FacDevGrowth)^1551</f>
        <v>3.9627318826152239E+68</v>
      </c>
      <c r="F1553" s="4">
        <f t="shared" si="96"/>
        <v>1.1888195647845672E+69</v>
      </c>
      <c r="G1553" s="4">
        <f t="shared" si="97"/>
        <v>1.1888195647845672E+69</v>
      </c>
      <c r="H1553" s="4">
        <f>SalaryFTECount*SalaryPerFTE*(1+SalaryGrowth)^1551</f>
        <v>5.507170815158139E+31</v>
      </c>
      <c r="I1553" s="4">
        <f>SimOpsY1*(1+SimOpsGrowth)^1551</f>
        <v>2.0766629514750992E+56</v>
      </c>
      <c r="J1553" s="4">
        <f>TrainDevY1*(1+TrainDevGrowth)^1551</f>
        <v>1.0383314757375496E+56</v>
      </c>
      <c r="K1553" s="4">
        <f>AdminY1*(1+AdminGrowth)^1551</f>
        <v>3.5516243210942762E+43</v>
      </c>
      <c r="L1553" s="4">
        <f t="shared" si="98"/>
        <v>3.1149944272130037E+56</v>
      </c>
      <c r="M1553" s="4">
        <f t="shared" si="99"/>
        <v>1.1888195647842557E+69</v>
      </c>
    </row>
    <row r="1554" spans="1:13" x14ac:dyDescent="0.2">
      <c r="A1554" s="3">
        <f>StartYear+1552</f>
        <v>3577</v>
      </c>
      <c r="B1554" s="4">
        <f>FacultyFTE*HoursPerWeek*WeeksPerYear*RatePerHour*(1+PracticeGrowth)^1552</f>
        <v>2.2140358272741702E+38</v>
      </c>
      <c r="C1554" s="4">
        <f>StudentsY1*(1+StudentGrowth)^1552*CreditsPerStudent*TuitionPerCredit</f>
        <v>1.3837723920463565E+39</v>
      </c>
      <c r="D1554" s="4">
        <f>SimRevY1*(1+SimGrowth)^1552</f>
        <v>8.7180101417534922E+68</v>
      </c>
      <c r="E1554" s="4">
        <f>FacDevRevY1*(1+FacDevGrowth)^1552</f>
        <v>4.3590050708767461E+68</v>
      </c>
      <c r="F1554" s="4">
        <f t="shared" si="96"/>
        <v>1.3077015212630239E+69</v>
      </c>
      <c r="G1554" s="4">
        <f t="shared" si="97"/>
        <v>1.3077015212630239E+69</v>
      </c>
      <c r="H1554" s="4">
        <f>SalaryFTECount*SalaryPerFTE*(1+SalaryGrowth)^1552</f>
        <v>5.7274576477644661E+31</v>
      </c>
      <c r="I1554" s="4">
        <f>SimOpsY1*(1+SimOpsGrowth)^1552</f>
        <v>2.242795987593107E+56</v>
      </c>
      <c r="J1554" s="4">
        <f>TrainDevY1*(1+TrainDevGrowth)^1552</f>
        <v>1.1213979937965535E+56</v>
      </c>
      <c r="K1554" s="4">
        <f>AdminY1*(1+AdminGrowth)^1552</f>
        <v>3.7647217803599322E+43</v>
      </c>
      <c r="L1554" s="4">
        <f t="shared" si="98"/>
        <v>3.3641939813900368E+56</v>
      </c>
      <c r="M1554" s="4">
        <f t="shared" si="99"/>
        <v>1.3077015212626875E+69</v>
      </c>
    </row>
    <row r="1555" spans="1:13" x14ac:dyDescent="0.2">
      <c r="A1555" s="3">
        <f>StartYear+1553</f>
        <v>3578</v>
      </c>
      <c r="B1555" s="4">
        <f>FacultyFTE*HoursPerWeek*WeeksPerYear*RatePerHour*(1+PracticeGrowth)^1553</f>
        <v>2.3247376186378793E+38</v>
      </c>
      <c r="C1555" s="4">
        <f>StudentsY1*(1+StudentGrowth)^1553*CreditsPerStudent*TuitionPerCredit</f>
        <v>1.4529610116486744E+39</v>
      </c>
      <c r="D1555" s="4">
        <f>SimRevY1*(1+SimGrowth)^1553</f>
        <v>9.5898111559288412E+68</v>
      </c>
      <c r="E1555" s="4">
        <f>FacDevRevY1*(1+FacDevGrowth)^1553</f>
        <v>4.7949055779644206E+68</v>
      </c>
      <c r="F1555" s="4">
        <f t="shared" si="96"/>
        <v>1.4384716733893263E+69</v>
      </c>
      <c r="G1555" s="4">
        <f t="shared" si="97"/>
        <v>1.4384716733893263E+69</v>
      </c>
      <c r="H1555" s="4">
        <f>SalaryFTECount*SalaryPerFTE*(1+SalaryGrowth)^1553</f>
        <v>5.9565559536750447E+31</v>
      </c>
      <c r="I1555" s="4">
        <f>SimOpsY1*(1+SimOpsGrowth)^1553</f>
        <v>2.4222196666005556E+56</v>
      </c>
      <c r="J1555" s="4">
        <f>TrainDevY1*(1+TrainDevGrowth)^1553</f>
        <v>1.2111098333002778E+56</v>
      </c>
      <c r="K1555" s="4">
        <f>AdminY1*(1+AdminGrowth)^1553</f>
        <v>3.9906050871815285E+43</v>
      </c>
      <c r="L1555" s="4">
        <f t="shared" si="98"/>
        <v>3.6333294999012324E+56</v>
      </c>
      <c r="M1555" s="4">
        <f t="shared" si="99"/>
        <v>1.4384716733889629E+69</v>
      </c>
    </row>
    <row r="1556" spans="1:13" x14ac:dyDescent="0.2">
      <c r="A1556" s="3">
        <f>StartYear+1554</f>
        <v>3579</v>
      </c>
      <c r="B1556" s="4">
        <f>FacultyFTE*HoursPerWeek*WeeksPerYear*RatePerHour*(1+PracticeGrowth)^1554</f>
        <v>2.4409744995697734E+38</v>
      </c>
      <c r="C1556" s="4">
        <f>StudentsY1*(1+StudentGrowth)^1554*CreditsPerStudent*TuitionPerCredit</f>
        <v>1.5256090622311083E+39</v>
      </c>
      <c r="D1556" s="4">
        <f>SimRevY1*(1+SimGrowth)^1554</f>
        <v>1.0548792271521726E+69</v>
      </c>
      <c r="E1556" s="4">
        <f>FacDevRevY1*(1+FacDevGrowth)^1554</f>
        <v>5.2743961357608631E+68</v>
      </c>
      <c r="F1556" s="4">
        <f t="shared" si="96"/>
        <v>1.5823188407282589E+69</v>
      </c>
      <c r="G1556" s="4">
        <f t="shared" si="97"/>
        <v>1.5823188407282589E+69</v>
      </c>
      <c r="H1556" s="4">
        <f>SalaryFTECount*SalaryPerFTE*(1+SalaryGrowth)^1554</f>
        <v>6.1948181918220477E+31</v>
      </c>
      <c r="I1556" s="4">
        <f>SimOpsY1*(1+SimOpsGrowth)^1554</f>
        <v>2.6159972399286009E+56</v>
      </c>
      <c r="J1556" s="4">
        <f>TrainDevY1*(1+TrainDevGrowth)^1554</f>
        <v>1.3079986199643004E+56</v>
      </c>
      <c r="K1556" s="4">
        <f>AdminY1*(1+AdminGrowth)^1554</f>
        <v>4.2300413924124206E+43</v>
      </c>
      <c r="L1556" s="4">
        <f t="shared" si="98"/>
        <v>3.9239958598933251E+56</v>
      </c>
      <c r="M1556" s="4">
        <f t="shared" si="99"/>
        <v>1.5823188407278666E+69</v>
      </c>
    </row>
    <row r="1557" spans="1:13" x14ac:dyDescent="0.2">
      <c r="A1557" s="3">
        <f>StartYear+1555</f>
        <v>3580</v>
      </c>
      <c r="B1557" s="4">
        <f>FacultyFTE*HoursPerWeek*WeeksPerYear*RatePerHour*(1+PracticeGrowth)^1555</f>
        <v>2.5630232245482619E+38</v>
      </c>
      <c r="C1557" s="4">
        <f>StudentsY1*(1+StudentGrowth)^1555*CreditsPerStudent*TuitionPerCredit</f>
        <v>1.6018895153426635E+39</v>
      </c>
      <c r="D1557" s="4">
        <f>SimRevY1*(1+SimGrowth)^1555</f>
        <v>1.16036714986739E+69</v>
      </c>
      <c r="E1557" s="4">
        <f>FacDevRevY1*(1+FacDevGrowth)^1555</f>
        <v>5.8018357493369502E+68</v>
      </c>
      <c r="F1557" s="4">
        <f t="shared" si="96"/>
        <v>1.740550724801085E+69</v>
      </c>
      <c r="G1557" s="4">
        <f t="shared" si="97"/>
        <v>1.740550724801085E+69</v>
      </c>
      <c r="H1557" s="4">
        <f>SalaryFTECount*SalaryPerFTE*(1+SalaryGrowth)^1555</f>
        <v>6.442610919494929E+31</v>
      </c>
      <c r="I1557" s="4">
        <f>SimOpsY1*(1+SimOpsGrowth)^1555</f>
        <v>2.8252770191228888E+56</v>
      </c>
      <c r="J1557" s="4">
        <f>TrainDevY1*(1+TrainDevGrowth)^1555</f>
        <v>1.4126385095614444E+56</v>
      </c>
      <c r="K1557" s="4">
        <f>AdminY1*(1+AdminGrowth)^1555</f>
        <v>4.483843875957166E+43</v>
      </c>
      <c r="L1557" s="4">
        <f t="shared" si="98"/>
        <v>4.2379155286847817E+56</v>
      </c>
      <c r="M1557" s="4">
        <f t="shared" si="99"/>
        <v>1.7405507248006612E+69</v>
      </c>
    </row>
    <row r="1558" spans="1:13" x14ac:dyDescent="0.2">
      <c r="A1558" s="3">
        <f>StartYear+1556</f>
        <v>3581</v>
      </c>
      <c r="B1558" s="4">
        <f>FacultyFTE*HoursPerWeek*WeeksPerYear*RatePerHour*(1+PracticeGrowth)^1556</f>
        <v>2.6911743857756747E+38</v>
      </c>
      <c r="C1558" s="4">
        <f>StudentsY1*(1+StudentGrowth)^1556*CreditsPerStudent*TuitionPerCredit</f>
        <v>1.6819839911097965E+39</v>
      </c>
      <c r="D1558" s="4">
        <f>SimRevY1*(1+SimGrowth)^1556</f>
        <v>1.2764038648541291E+69</v>
      </c>
      <c r="E1558" s="4">
        <f>FacDevRevY1*(1+FacDevGrowth)^1556</f>
        <v>6.3820193242706457E+68</v>
      </c>
      <c r="F1558" s="4">
        <f t="shared" si="96"/>
        <v>1.9146057972811936E+69</v>
      </c>
      <c r="G1558" s="4">
        <f t="shared" si="97"/>
        <v>1.9146057972811936E+69</v>
      </c>
      <c r="H1558" s="4">
        <f>SalaryFTECount*SalaryPerFTE*(1+SalaryGrowth)^1556</f>
        <v>6.7003153562747263E+31</v>
      </c>
      <c r="I1558" s="4">
        <f>SimOpsY1*(1+SimOpsGrowth)^1556</f>
        <v>3.05129918065272E+56</v>
      </c>
      <c r="J1558" s="4">
        <f>TrainDevY1*(1+TrainDevGrowth)^1556</f>
        <v>1.52564959032636E+56</v>
      </c>
      <c r="K1558" s="4">
        <f>AdminY1*(1+AdminGrowth)^1556</f>
        <v>4.7528745085145954E+43</v>
      </c>
      <c r="L1558" s="4">
        <f t="shared" si="98"/>
        <v>4.5769487709795559E+56</v>
      </c>
      <c r="M1558" s="4">
        <f t="shared" si="99"/>
        <v>1.9146057972807358E+69</v>
      </c>
    </row>
    <row r="1559" spans="1:13" x14ac:dyDescent="0.2">
      <c r="A1559" s="3">
        <f>StartYear+1557</f>
        <v>3582</v>
      </c>
      <c r="B1559" s="4">
        <f>FacultyFTE*HoursPerWeek*WeeksPerYear*RatePerHour*(1+PracticeGrowth)^1557</f>
        <v>2.8257331050644586E+38</v>
      </c>
      <c r="C1559" s="4">
        <f>StudentsY1*(1+StudentGrowth)^1557*CreditsPerStudent*TuitionPerCredit</f>
        <v>1.7660831906652868E+39</v>
      </c>
      <c r="D1559" s="4">
        <f>SimRevY1*(1+SimGrowth)^1557</f>
        <v>1.4040442513395421E+69</v>
      </c>
      <c r="E1559" s="4">
        <f>FacDevRevY1*(1+FacDevGrowth)^1557</f>
        <v>7.0202212566977106E+68</v>
      </c>
      <c r="F1559" s="4">
        <f t="shared" si="96"/>
        <v>2.106066377009313E+69</v>
      </c>
      <c r="G1559" s="4">
        <f t="shared" si="97"/>
        <v>2.106066377009313E+69</v>
      </c>
      <c r="H1559" s="4">
        <f>SalaryFTECount*SalaryPerFTE*(1+SalaryGrowth)^1557</f>
        <v>6.9683279705257177E+31</v>
      </c>
      <c r="I1559" s="4">
        <f>SimOpsY1*(1+SimOpsGrowth)^1557</f>
        <v>3.2954031151049375E+56</v>
      </c>
      <c r="J1559" s="4">
        <f>TrainDevY1*(1+TrainDevGrowth)^1557</f>
        <v>1.6477015575524688E+56</v>
      </c>
      <c r="K1559" s="4">
        <f>AdminY1*(1+AdminGrowth)^1557</f>
        <v>5.0380469790254723E+43</v>
      </c>
      <c r="L1559" s="4">
        <f t="shared" si="98"/>
        <v>4.9431046726579094E+56</v>
      </c>
      <c r="M1559" s="4">
        <f t="shared" si="99"/>
        <v>2.1060663770088187E+69</v>
      </c>
    </row>
    <row r="1560" spans="1:13" x14ac:dyDescent="0.2">
      <c r="A1560" s="3">
        <f>StartYear+1558</f>
        <v>3583</v>
      </c>
      <c r="B1560" s="4">
        <f>FacultyFTE*HoursPerWeek*WeeksPerYear*RatePerHour*(1+PracticeGrowth)^1558</f>
        <v>2.9670197603176812E+38</v>
      </c>
      <c r="C1560" s="4">
        <f>StudentsY1*(1+StudentGrowth)^1558*CreditsPerStudent*TuitionPerCredit</f>
        <v>1.8543873501985507E+39</v>
      </c>
      <c r="D1560" s="4">
        <f>SimRevY1*(1+SimGrowth)^1558</f>
        <v>1.5444486764734966E+69</v>
      </c>
      <c r="E1560" s="4">
        <f>FacDevRevY1*(1+FacDevGrowth)^1558</f>
        <v>7.722243382367483E+68</v>
      </c>
      <c r="F1560" s="4">
        <f t="shared" si="96"/>
        <v>2.3166730147102449E+69</v>
      </c>
      <c r="G1560" s="4">
        <f t="shared" si="97"/>
        <v>2.3166730147102449E+69</v>
      </c>
      <c r="H1560" s="4">
        <f>SalaryFTECount*SalaryPerFTE*(1+SalaryGrowth)^1558</f>
        <v>7.247061089346744E+31</v>
      </c>
      <c r="I1560" s="4">
        <f>SimOpsY1*(1+SimOpsGrowth)^1558</f>
        <v>3.5590353643133332E+56</v>
      </c>
      <c r="J1560" s="4">
        <f>TrainDevY1*(1+TrainDevGrowth)^1558</f>
        <v>1.7795176821566666E+56</v>
      </c>
      <c r="K1560" s="4">
        <f>AdminY1*(1+AdminGrowth)^1558</f>
        <v>5.3403297977670013E+43</v>
      </c>
      <c r="L1560" s="4">
        <f t="shared" si="98"/>
        <v>5.3385530464705335E+56</v>
      </c>
      <c r="M1560" s="4">
        <f t="shared" si="99"/>
        <v>2.3166730147097112E+69</v>
      </c>
    </row>
    <row r="1561" spans="1:13" x14ac:dyDescent="0.2">
      <c r="A1561" s="3">
        <f>StartYear+1559</f>
        <v>3584</v>
      </c>
      <c r="B1561" s="4">
        <f>FacultyFTE*HoursPerWeek*WeeksPerYear*RatePerHour*(1+PracticeGrowth)^1559</f>
        <v>3.1153707483335661E+38</v>
      </c>
      <c r="C1561" s="4">
        <f>StudentsY1*(1+StudentGrowth)^1559*CreditsPerStudent*TuitionPerCredit</f>
        <v>1.9471067177084786E+39</v>
      </c>
      <c r="D1561" s="4">
        <f>SimRevY1*(1+SimGrowth)^1559</f>
        <v>1.6988935441208464E+69</v>
      </c>
      <c r="E1561" s="4">
        <f>FacDevRevY1*(1+FacDevGrowth)^1559</f>
        <v>8.494467720604232E+68</v>
      </c>
      <c r="F1561" s="4">
        <f t="shared" si="96"/>
        <v>2.5483403161812694E+69</v>
      </c>
      <c r="G1561" s="4">
        <f t="shared" si="97"/>
        <v>2.5483403161812694E+69</v>
      </c>
      <c r="H1561" s="4">
        <f>SalaryFTECount*SalaryPerFTE*(1+SalaryGrowth)^1559</f>
        <v>7.5369435329206138E+31</v>
      </c>
      <c r="I1561" s="4">
        <f>SimOpsY1*(1+SimOpsGrowth)^1559</f>
        <v>3.843758193458399E+56</v>
      </c>
      <c r="J1561" s="4">
        <f>TrainDevY1*(1+TrainDevGrowth)^1559</f>
        <v>1.9218790967291995E+56</v>
      </c>
      <c r="K1561" s="4">
        <f>AdminY1*(1+AdminGrowth)^1559</f>
        <v>5.6607495856330225E+43</v>
      </c>
      <c r="L1561" s="4">
        <f t="shared" si="98"/>
        <v>5.7656372901881649E+56</v>
      </c>
      <c r="M1561" s="4">
        <f t="shared" si="99"/>
        <v>2.5483403161806928E+69</v>
      </c>
    </row>
    <row r="1562" spans="1:13" x14ac:dyDescent="0.2">
      <c r="A1562" s="3">
        <f>StartYear+1560</f>
        <v>3585</v>
      </c>
      <c r="B1562" s="4">
        <f>FacultyFTE*HoursPerWeek*WeeksPerYear*RatePerHour*(1+PracticeGrowth)^1560</f>
        <v>3.2711392857502441E+38</v>
      </c>
      <c r="C1562" s="4">
        <f>StudentsY1*(1+StudentGrowth)^1560*CreditsPerStudent*TuitionPerCredit</f>
        <v>2.0444620535939023E+39</v>
      </c>
      <c r="D1562" s="4">
        <f>SimRevY1*(1+SimGrowth)^1560</f>
        <v>1.8687828985329309E+69</v>
      </c>
      <c r="E1562" s="4">
        <f>FacDevRevY1*(1+FacDevGrowth)^1560</f>
        <v>9.3439144926646546E+68</v>
      </c>
      <c r="F1562" s="4">
        <f t="shared" si="96"/>
        <v>2.8031743477993962E+69</v>
      </c>
      <c r="G1562" s="4">
        <f t="shared" si="97"/>
        <v>2.8031743477993962E+69</v>
      </c>
      <c r="H1562" s="4">
        <f>SalaryFTECount*SalaryPerFTE*(1+SalaryGrowth)^1560</f>
        <v>7.8384212742374398E+31</v>
      </c>
      <c r="I1562" s="4">
        <f>SimOpsY1*(1+SimOpsGrowth)^1560</f>
        <v>4.1512588489350713E+56</v>
      </c>
      <c r="J1562" s="4">
        <f>TrainDevY1*(1+TrainDevGrowth)^1560</f>
        <v>2.0756294244675357E+56</v>
      </c>
      <c r="K1562" s="4">
        <f>AdminY1*(1+AdminGrowth)^1560</f>
        <v>6.0003945607710023E+43</v>
      </c>
      <c r="L1562" s="4">
        <f t="shared" si="98"/>
        <v>6.2268882734032067E+56</v>
      </c>
      <c r="M1562" s="4">
        <f t="shared" si="99"/>
        <v>2.8031743477987736E+69</v>
      </c>
    </row>
    <row r="1563" spans="1:13" x14ac:dyDescent="0.2">
      <c r="A1563" s="3">
        <f>StartYear+1561</f>
        <v>3586</v>
      </c>
      <c r="B1563" s="4">
        <f>FacultyFTE*HoursPerWeek*WeeksPerYear*RatePerHour*(1+PracticeGrowth)^1561</f>
        <v>3.434696250037756E+38</v>
      </c>
      <c r="C1563" s="4">
        <f>StudentsY1*(1+StudentGrowth)^1561*CreditsPerStudent*TuitionPerCredit</f>
        <v>2.1466851562735974E+39</v>
      </c>
      <c r="D1563" s="4">
        <f>SimRevY1*(1+SimGrowth)^1561</f>
        <v>2.0556611883862241E+69</v>
      </c>
      <c r="E1563" s="4">
        <f>FacDevRevY1*(1+FacDevGrowth)^1561</f>
        <v>1.0278305941931121E+69</v>
      </c>
      <c r="F1563" s="4">
        <f t="shared" si="96"/>
        <v>3.0834917825793362E+69</v>
      </c>
      <c r="G1563" s="4">
        <f t="shared" si="97"/>
        <v>3.0834917825793362E+69</v>
      </c>
      <c r="H1563" s="4">
        <f>SalaryFTECount*SalaryPerFTE*(1+SalaryGrowth)^1561</f>
        <v>8.1519581252069405E+31</v>
      </c>
      <c r="I1563" s="4">
        <f>SimOpsY1*(1+SimOpsGrowth)^1561</f>
        <v>4.4833595568498781E+56</v>
      </c>
      <c r="J1563" s="4">
        <f>TrainDevY1*(1+TrainDevGrowth)^1561</f>
        <v>2.241679778424939E+56</v>
      </c>
      <c r="K1563" s="4">
        <f>AdminY1*(1+AdminGrowth)^1561</f>
        <v>6.3604182344172624E+43</v>
      </c>
      <c r="L1563" s="4">
        <f t="shared" si="98"/>
        <v>6.7250393352754531E+56</v>
      </c>
      <c r="M1563" s="4">
        <f t="shared" si="99"/>
        <v>3.0834917825786638E+69</v>
      </c>
    </row>
    <row r="1564" spans="1:13" x14ac:dyDescent="0.2">
      <c r="A1564" s="3">
        <f>StartYear+1562</f>
        <v>3587</v>
      </c>
      <c r="B1564" s="4">
        <f>FacultyFTE*HoursPerWeek*WeeksPerYear*RatePerHour*(1+PracticeGrowth)^1562</f>
        <v>3.6064310625396442E+38</v>
      </c>
      <c r="C1564" s="4">
        <f>StudentsY1*(1+StudentGrowth)^1562*CreditsPerStudent*TuitionPerCredit</f>
        <v>2.2540194140872775E+39</v>
      </c>
      <c r="D1564" s="4">
        <f>SimRevY1*(1+SimGrowth)^1562</f>
        <v>2.2612273072248468E+69</v>
      </c>
      <c r="E1564" s="4">
        <f>FacDevRevY1*(1+FacDevGrowth)^1562</f>
        <v>1.1306136536124234E+69</v>
      </c>
      <c r="F1564" s="4">
        <f t="shared" si="96"/>
        <v>3.3918409608372702E+69</v>
      </c>
      <c r="G1564" s="4">
        <f t="shared" si="97"/>
        <v>3.3918409608372702E+69</v>
      </c>
      <c r="H1564" s="4">
        <f>SalaryFTECount*SalaryPerFTE*(1+SalaryGrowth)^1562</f>
        <v>8.4780364502152156E+31</v>
      </c>
      <c r="I1564" s="4">
        <f>SimOpsY1*(1+SimOpsGrowth)^1562</f>
        <v>4.8420283213978682E+56</v>
      </c>
      <c r="J1564" s="4">
        <f>TrainDevY1*(1+TrainDevGrowth)^1562</f>
        <v>2.4210141606989341E+56</v>
      </c>
      <c r="K1564" s="4">
        <f>AdminY1*(1+AdminGrowth)^1562</f>
        <v>6.7420433284822978E+43</v>
      </c>
      <c r="L1564" s="4">
        <f t="shared" si="98"/>
        <v>7.2630424820974765E+56</v>
      </c>
      <c r="M1564" s="4">
        <f t="shared" si="99"/>
        <v>3.3918409608365438E+69</v>
      </c>
    </row>
    <row r="1565" spans="1:13" x14ac:dyDescent="0.2">
      <c r="A1565" s="3">
        <f>StartYear+1563</f>
        <v>3588</v>
      </c>
      <c r="B1565" s="4">
        <f>FacultyFTE*HoursPerWeek*WeeksPerYear*RatePerHour*(1+PracticeGrowth)^1563</f>
        <v>3.7867526156666266E+38</v>
      </c>
      <c r="C1565" s="4">
        <f>StudentsY1*(1+StudentGrowth)^1563*CreditsPerStudent*TuitionPerCredit</f>
        <v>2.3667203847916416E+39</v>
      </c>
      <c r="D1565" s="4">
        <f>SimRevY1*(1+SimGrowth)^1563</f>
        <v>2.487350037947332E+69</v>
      </c>
      <c r="E1565" s="4">
        <f>FacDevRevY1*(1+FacDevGrowth)^1563</f>
        <v>1.243675018973666E+69</v>
      </c>
      <c r="F1565" s="4">
        <f t="shared" si="96"/>
        <v>3.7310250569209984E+69</v>
      </c>
      <c r="G1565" s="4">
        <f t="shared" si="97"/>
        <v>3.7310250569209984E+69</v>
      </c>
      <c r="H1565" s="4">
        <f>SalaryFTECount*SalaryPerFTE*(1+SalaryGrowth)^1563</f>
        <v>8.8171579082238237E+31</v>
      </c>
      <c r="I1565" s="4">
        <f>SimOpsY1*(1+SimOpsGrowth)^1563</f>
        <v>5.229390587109698E+56</v>
      </c>
      <c r="J1565" s="4">
        <f>TrainDevY1*(1+TrainDevGrowth)^1563</f>
        <v>2.614695293554849E+56</v>
      </c>
      <c r="K1565" s="4">
        <f>AdminY1*(1+AdminGrowth)^1563</f>
        <v>7.146565928191238E+43</v>
      </c>
      <c r="L1565" s="4">
        <f t="shared" si="98"/>
        <v>7.8440858806652609E+56</v>
      </c>
      <c r="M1565" s="4">
        <f t="shared" si="99"/>
        <v>3.7310250569202137E+69</v>
      </c>
    </row>
    <row r="1566" spans="1:13" x14ac:dyDescent="0.2">
      <c r="A1566" s="3">
        <f>StartYear+1564</f>
        <v>3589</v>
      </c>
      <c r="B1566" s="4">
        <f>FacultyFTE*HoursPerWeek*WeeksPerYear*RatePerHour*(1+PracticeGrowth)^1564</f>
        <v>3.9760902464499572E+38</v>
      </c>
      <c r="C1566" s="4">
        <f>StudentsY1*(1+StudentGrowth)^1564*CreditsPerStudent*TuitionPerCredit</f>
        <v>2.4850564040312233E+39</v>
      </c>
      <c r="D1566" s="4">
        <f>SimRevY1*(1+SimGrowth)^1564</f>
        <v>2.7360850417420652E+69</v>
      </c>
      <c r="E1566" s="4">
        <f>FacDevRevY1*(1+FacDevGrowth)^1564</f>
        <v>1.3680425208710326E+69</v>
      </c>
      <c r="F1566" s="4">
        <f t="shared" si="96"/>
        <v>4.1041275626130976E+69</v>
      </c>
      <c r="G1566" s="4">
        <f t="shared" si="97"/>
        <v>4.1041275626130976E+69</v>
      </c>
      <c r="H1566" s="4">
        <f>SalaryFTECount*SalaryPerFTE*(1+SalaryGrowth)^1564</f>
        <v>9.1698442245527795E+31</v>
      </c>
      <c r="I1566" s="4">
        <f>SimOpsY1*(1+SimOpsGrowth)^1564</f>
        <v>5.6477418340784738E+56</v>
      </c>
      <c r="J1566" s="4">
        <f>TrainDevY1*(1+TrainDevGrowth)^1564</f>
        <v>2.8238709170392369E+56</v>
      </c>
      <c r="K1566" s="4">
        <f>AdminY1*(1+AdminGrowth)^1564</f>
        <v>7.5753598838827125E+43</v>
      </c>
      <c r="L1566" s="4">
        <f t="shared" si="98"/>
        <v>8.4716127511184682E+56</v>
      </c>
      <c r="M1566" s="4">
        <f t="shared" si="99"/>
        <v>4.1041275626122501E+69</v>
      </c>
    </row>
    <row r="1567" spans="1:13" x14ac:dyDescent="0.2">
      <c r="A1567" s="3">
        <f>StartYear+1565</f>
        <v>3590</v>
      </c>
      <c r="B1567" s="4">
        <f>FacultyFTE*HoursPerWeek*WeeksPerYear*RatePerHour*(1+PracticeGrowth)^1565</f>
        <v>4.1748947587724562E+38</v>
      </c>
      <c r="C1567" s="4">
        <f>StudentsY1*(1+StudentGrowth)^1565*CreditsPerStudent*TuitionPerCredit</f>
        <v>2.609309224232785E+39</v>
      </c>
      <c r="D1567" s="4">
        <f>SimRevY1*(1+SimGrowth)^1565</f>
        <v>3.0096935459162717E+69</v>
      </c>
      <c r="E1567" s="4">
        <f>FacDevRevY1*(1+FacDevGrowth)^1565</f>
        <v>1.5048467729581358E+69</v>
      </c>
      <c r="F1567" s="4">
        <f t="shared" si="96"/>
        <v>4.5145403188744075E+69</v>
      </c>
      <c r="G1567" s="4">
        <f t="shared" si="97"/>
        <v>4.5145403188744075E+69</v>
      </c>
      <c r="H1567" s="4">
        <f>SalaryFTECount*SalaryPerFTE*(1+SalaryGrowth)^1565</f>
        <v>9.5366379935348921E+31</v>
      </c>
      <c r="I1567" s="4">
        <f>SimOpsY1*(1+SimOpsGrowth)^1565</f>
        <v>6.0995611808047518E+56</v>
      </c>
      <c r="J1567" s="4">
        <f>TrainDevY1*(1+TrainDevGrowth)^1565</f>
        <v>3.0497805904023759E+56</v>
      </c>
      <c r="K1567" s="4">
        <f>AdminY1*(1+AdminGrowth)^1565</f>
        <v>8.0298814769156757E+43</v>
      </c>
      <c r="L1567" s="4">
        <f t="shared" si="98"/>
        <v>9.1493417712079304E+56</v>
      </c>
      <c r="M1567" s="4">
        <f t="shared" si="99"/>
        <v>4.5145403188734926E+69</v>
      </c>
    </row>
    <row r="1568" spans="1:13" x14ac:dyDescent="0.2">
      <c r="A1568" s="3">
        <f>StartYear+1566</f>
        <v>3591</v>
      </c>
      <c r="B1568" s="4">
        <f>FacultyFTE*HoursPerWeek*WeeksPerYear*RatePerHour*(1+PracticeGrowth)^1566</f>
        <v>4.3836394967110775E+38</v>
      </c>
      <c r="C1568" s="4">
        <f>StudentsY1*(1+StudentGrowth)^1566*CreditsPerStudent*TuitionPerCredit</f>
        <v>2.7397746854444236E+39</v>
      </c>
      <c r="D1568" s="4">
        <f>SimRevY1*(1+SimGrowth)^1566</f>
        <v>3.3106629005078997E+69</v>
      </c>
      <c r="E1568" s="4">
        <f>FacDevRevY1*(1+FacDevGrowth)^1566</f>
        <v>1.6553314502539498E+69</v>
      </c>
      <c r="F1568" s="4">
        <f t="shared" si="96"/>
        <v>4.9659943507618497E+69</v>
      </c>
      <c r="G1568" s="4">
        <f t="shared" si="97"/>
        <v>4.9659943507618497E+69</v>
      </c>
      <c r="H1568" s="4">
        <f>SalaryFTECount*SalaryPerFTE*(1+SalaryGrowth)^1566</f>
        <v>9.9181035132762845E+31</v>
      </c>
      <c r="I1568" s="4">
        <f>SimOpsY1*(1+SimOpsGrowth)^1566</f>
        <v>6.5875260752691327E+56</v>
      </c>
      <c r="J1568" s="4">
        <f>TrainDevY1*(1+TrainDevGrowth)^1566</f>
        <v>3.2937630376345663E+56</v>
      </c>
      <c r="K1568" s="4">
        <f>AdminY1*(1+AdminGrowth)^1566</f>
        <v>8.5116743655306163E+43</v>
      </c>
      <c r="L1568" s="4">
        <f t="shared" si="98"/>
        <v>9.8812891129045506E+56</v>
      </c>
      <c r="M1568" s="4">
        <f t="shared" si="99"/>
        <v>4.9659943507608613E+69</v>
      </c>
    </row>
    <row r="1569" spans="1:13" x14ac:dyDescent="0.2">
      <c r="A1569" s="3">
        <f>StartYear+1567</f>
        <v>3592</v>
      </c>
      <c r="B1569" s="4">
        <f>FacultyFTE*HoursPerWeek*WeeksPerYear*RatePerHour*(1+PracticeGrowth)^1567</f>
        <v>4.6028214715466335E+38</v>
      </c>
      <c r="C1569" s="4">
        <f>StudentsY1*(1+StudentGrowth)^1567*CreditsPerStudent*TuitionPerCredit</f>
        <v>2.8767634197166455E+39</v>
      </c>
      <c r="D1569" s="4">
        <f>SimRevY1*(1+SimGrowth)^1567</f>
        <v>3.6417291905586892E+69</v>
      </c>
      <c r="E1569" s="4">
        <f>FacDevRevY1*(1+FacDevGrowth)^1567</f>
        <v>1.8208645952793446E+69</v>
      </c>
      <c r="F1569" s="4">
        <f t="shared" si="96"/>
        <v>5.4625937858380342E+69</v>
      </c>
      <c r="G1569" s="4">
        <f t="shared" si="97"/>
        <v>5.4625937858380342E+69</v>
      </c>
      <c r="H1569" s="4">
        <f>SalaryFTECount*SalaryPerFTE*(1+SalaryGrowth)^1567</f>
        <v>1.0314827653807336E+32</v>
      </c>
      <c r="I1569" s="4">
        <f>SimOpsY1*(1+SimOpsGrowth)^1567</f>
        <v>7.1145281612906647E+56</v>
      </c>
      <c r="J1569" s="4">
        <f>TrainDevY1*(1+TrainDevGrowth)^1567</f>
        <v>3.5572640806453324E+56</v>
      </c>
      <c r="K1569" s="4">
        <f>AdminY1*(1+AdminGrowth)^1567</f>
        <v>9.0223748274624558E+43</v>
      </c>
      <c r="L1569" s="4">
        <f t="shared" si="98"/>
        <v>1.0671792241936899E+57</v>
      </c>
      <c r="M1569" s="4">
        <f t="shared" si="99"/>
        <v>5.4625937858369669E+69</v>
      </c>
    </row>
    <row r="1570" spans="1:13" x14ac:dyDescent="0.2">
      <c r="A1570" s="3">
        <f>StartYear+1568</f>
        <v>3593</v>
      </c>
      <c r="B1570" s="4">
        <f>FacultyFTE*HoursPerWeek*WeeksPerYear*RatePerHour*(1+PracticeGrowth)^1568</f>
        <v>4.8329625451239645E+38</v>
      </c>
      <c r="C1570" s="4">
        <f>StudentsY1*(1+StudentGrowth)^1568*CreditsPerStudent*TuitionPerCredit</f>
        <v>3.020601590702478E+39</v>
      </c>
      <c r="D1570" s="4">
        <f>SimRevY1*(1+SimGrowth)^1568</f>
        <v>4.0059021096145587E+69</v>
      </c>
      <c r="E1570" s="4">
        <f>FacDevRevY1*(1+FacDevGrowth)^1568</f>
        <v>2.0029510548072793E+69</v>
      </c>
      <c r="F1570" s="4">
        <f t="shared" si="96"/>
        <v>6.0088531644218377E+69</v>
      </c>
      <c r="G1570" s="4">
        <f t="shared" si="97"/>
        <v>6.0088531644218377E+69</v>
      </c>
      <c r="H1570" s="4">
        <f>SalaryFTECount*SalaryPerFTE*(1+SalaryGrowth)^1568</f>
        <v>1.0727420759959632E+32</v>
      </c>
      <c r="I1570" s="4">
        <f>SimOpsY1*(1+SimOpsGrowth)^1568</f>
        <v>7.6836904141939169E+56</v>
      </c>
      <c r="J1570" s="4">
        <f>TrainDevY1*(1+TrainDevGrowth)^1568</f>
        <v>3.8418452070969585E+56</v>
      </c>
      <c r="K1570" s="4">
        <f>AdminY1*(1+AdminGrowth)^1568</f>
        <v>9.5637173171102E+43</v>
      </c>
      <c r="L1570" s="4">
        <f t="shared" si="98"/>
        <v>1.1525535621291831E+57</v>
      </c>
      <c r="M1570" s="4">
        <f t="shared" si="99"/>
        <v>6.0088531644206852E+69</v>
      </c>
    </row>
    <row r="1571" spans="1:13" x14ac:dyDescent="0.2">
      <c r="A1571" s="3">
        <f>StartYear+1569</f>
        <v>3594</v>
      </c>
      <c r="B1571" s="4">
        <f>FacultyFTE*HoursPerWeek*WeeksPerYear*RatePerHour*(1+PracticeGrowth)^1569</f>
        <v>5.0746106723801624E+38</v>
      </c>
      <c r="C1571" s="4">
        <f>StudentsY1*(1+StudentGrowth)^1569*CreditsPerStudent*TuitionPerCredit</f>
        <v>3.1716316702376015E+39</v>
      </c>
      <c r="D1571" s="4">
        <f>SimRevY1*(1+SimGrowth)^1569</f>
        <v>4.4064923205760146E+69</v>
      </c>
      <c r="E1571" s="4">
        <f>FacDevRevY1*(1+FacDevGrowth)^1569</f>
        <v>2.2032461602880073E+69</v>
      </c>
      <c r="F1571" s="4">
        <f t="shared" si="96"/>
        <v>6.6097384808640216E+69</v>
      </c>
      <c r="G1571" s="4">
        <f t="shared" si="97"/>
        <v>6.6097384808640216E+69</v>
      </c>
      <c r="H1571" s="4">
        <f>SalaryFTECount*SalaryPerFTE*(1+SalaryGrowth)^1569</f>
        <v>1.1156517590358016E+32</v>
      </c>
      <c r="I1571" s="4">
        <f>SimOpsY1*(1+SimOpsGrowth)^1569</f>
        <v>8.2983856473294309E+56</v>
      </c>
      <c r="J1571" s="4">
        <f>TrainDevY1*(1+TrainDevGrowth)^1569</f>
        <v>4.1491928236647154E+56</v>
      </c>
      <c r="K1571" s="4">
        <f>AdminY1*(1+AdminGrowth)^1569</f>
        <v>1.0137540356136813E+44</v>
      </c>
      <c r="L1571" s="4">
        <f t="shared" si="98"/>
        <v>1.2447578470995161E+57</v>
      </c>
      <c r="M1571" s="4">
        <f t="shared" si="99"/>
        <v>6.6097384808627772E+69</v>
      </c>
    </row>
    <row r="1572" spans="1:13" x14ac:dyDescent="0.2">
      <c r="A1572" s="3">
        <f>StartYear+1570</f>
        <v>3595</v>
      </c>
      <c r="B1572" s="4">
        <f>FacultyFTE*HoursPerWeek*WeeksPerYear*RatePerHour*(1+PracticeGrowth)^1570</f>
        <v>5.3283412059991703E+38</v>
      </c>
      <c r="C1572" s="4">
        <f>StudentsY1*(1+StudentGrowth)^1570*CreditsPerStudent*TuitionPerCredit</f>
        <v>3.3302132537494815E+39</v>
      </c>
      <c r="D1572" s="4">
        <f>SimRevY1*(1+SimGrowth)^1570</f>
        <v>4.8471415526336168E+69</v>
      </c>
      <c r="E1572" s="4">
        <f>FacDevRevY1*(1+FacDevGrowth)^1570</f>
        <v>2.4235707763168084E+69</v>
      </c>
      <c r="F1572" s="4">
        <f t="shared" si="96"/>
        <v>7.2707123289504256E+69</v>
      </c>
      <c r="G1572" s="4">
        <f t="shared" si="97"/>
        <v>7.2707123289504256E+69</v>
      </c>
      <c r="H1572" s="4">
        <f>SalaryFTECount*SalaryPerFTE*(1+SalaryGrowth)^1570</f>
        <v>1.1602778293972339E+32</v>
      </c>
      <c r="I1572" s="4">
        <f>SimOpsY1*(1+SimOpsGrowth)^1570</f>
        <v>8.9622564991157859E+56</v>
      </c>
      <c r="J1572" s="4">
        <f>TrainDevY1*(1+TrainDevGrowth)^1570</f>
        <v>4.4811282495578929E+56</v>
      </c>
      <c r="K1572" s="4">
        <f>AdminY1*(1+AdminGrowth)^1570</f>
        <v>1.0745792777505021E+44</v>
      </c>
      <c r="L1572" s="4">
        <f t="shared" si="98"/>
        <v>1.3443384748674753E+57</v>
      </c>
      <c r="M1572" s="4">
        <f t="shared" si="99"/>
        <v>7.2707123289490816E+69</v>
      </c>
    </row>
    <row r="1573" spans="1:13" x14ac:dyDescent="0.2">
      <c r="A1573" s="3">
        <f>StartYear+1571</f>
        <v>3596</v>
      </c>
      <c r="B1573" s="4">
        <f>FacultyFTE*HoursPerWeek*WeeksPerYear*RatePerHour*(1+PracticeGrowth)^1571</f>
        <v>5.5947582662991291E+38</v>
      </c>
      <c r="C1573" s="4">
        <f>StudentsY1*(1+StudentGrowth)^1571*CreditsPerStudent*TuitionPerCredit</f>
        <v>3.4967239164369557E+39</v>
      </c>
      <c r="D1573" s="4">
        <f>SimRevY1*(1+SimGrowth)^1571</f>
        <v>5.3318557078969801E+69</v>
      </c>
      <c r="E1573" s="4">
        <f>FacDevRevY1*(1+FacDevGrowth)^1571</f>
        <v>2.66592785394849E+69</v>
      </c>
      <c r="F1573" s="4">
        <f t="shared" si="96"/>
        <v>7.9977835618454701E+69</v>
      </c>
      <c r="G1573" s="4">
        <f t="shared" si="97"/>
        <v>7.9977835618454701E+69</v>
      </c>
      <c r="H1573" s="4">
        <f>SalaryFTECount*SalaryPerFTE*(1+SalaryGrowth)^1571</f>
        <v>1.2066889425731231E+32</v>
      </c>
      <c r="I1573" s="4">
        <f>SimOpsY1*(1+SimOpsGrowth)^1571</f>
        <v>9.6792370190450492E+56</v>
      </c>
      <c r="J1573" s="4">
        <f>TrainDevY1*(1+TrainDevGrowth)^1571</f>
        <v>4.8396185095225246E+56</v>
      </c>
      <c r="K1573" s="4">
        <f>AdminY1*(1+AdminGrowth)^1571</f>
        <v>1.1390540344155325E+44</v>
      </c>
      <c r="L1573" s="4">
        <f t="shared" si="98"/>
        <v>1.4518855528568712E+57</v>
      </c>
      <c r="M1573" s="4">
        <f t="shared" si="99"/>
        <v>7.9977835618440188E+69</v>
      </c>
    </row>
    <row r="1574" spans="1:13" x14ac:dyDescent="0.2">
      <c r="A1574" s="3">
        <f>StartYear+1572</f>
        <v>3597</v>
      </c>
      <c r="B1574" s="4">
        <f>FacultyFTE*HoursPerWeek*WeeksPerYear*RatePerHour*(1+PracticeGrowth)^1572</f>
        <v>5.8744961796140853E+38</v>
      </c>
      <c r="C1574" s="4">
        <f>StudentsY1*(1+StudentGrowth)^1572*CreditsPerStudent*TuitionPerCredit</f>
        <v>3.6715601122588027E+39</v>
      </c>
      <c r="D1574" s="4">
        <f>SimRevY1*(1+SimGrowth)^1572</f>
        <v>5.8650412786866766E+69</v>
      </c>
      <c r="E1574" s="4">
        <f>FacDevRevY1*(1+FacDevGrowth)^1572</f>
        <v>2.9325206393433383E+69</v>
      </c>
      <c r="F1574" s="4">
        <f t="shared" si="96"/>
        <v>8.7975619180300141E+69</v>
      </c>
      <c r="G1574" s="4">
        <f t="shared" si="97"/>
        <v>8.7975619180300141E+69</v>
      </c>
      <c r="H1574" s="4">
        <f>SalaryFTECount*SalaryPerFTE*(1+SalaryGrowth)^1572</f>
        <v>1.2549565002760479E+32</v>
      </c>
      <c r="I1574" s="4">
        <f>SimOpsY1*(1+SimOpsGrowth)^1572</f>
        <v>1.0453575980568655E+57</v>
      </c>
      <c r="J1574" s="4">
        <f>TrainDevY1*(1+TrainDevGrowth)^1572</f>
        <v>5.2267879902843275E+56</v>
      </c>
      <c r="K1574" s="4">
        <f>AdminY1*(1+AdminGrowth)^1572</f>
        <v>1.2073972764804646E+44</v>
      </c>
      <c r="L1574" s="4">
        <f t="shared" si="98"/>
        <v>1.5680363970854189E+57</v>
      </c>
      <c r="M1574" s="4">
        <f t="shared" si="99"/>
        <v>8.7975619180284463E+69</v>
      </c>
    </row>
    <row r="1575" spans="1:13" x14ac:dyDescent="0.2">
      <c r="A1575" s="3">
        <f>StartYear+1573</f>
        <v>3598</v>
      </c>
      <c r="B1575" s="4">
        <f>FacultyFTE*HoursPerWeek*WeeksPerYear*RatePerHour*(1+PracticeGrowth)^1573</f>
        <v>6.1682209885947911E+38</v>
      </c>
      <c r="C1575" s="4">
        <f>StudentsY1*(1+StudentGrowth)^1573*CreditsPerStudent*TuitionPerCredit</f>
        <v>3.8551381178717441E+39</v>
      </c>
      <c r="D1575" s="4">
        <f>SimRevY1*(1+SimGrowth)^1573</f>
        <v>6.4515454065553442E+69</v>
      </c>
      <c r="E1575" s="4">
        <f>FacDevRevY1*(1+FacDevGrowth)^1573</f>
        <v>3.2257727032776721E+69</v>
      </c>
      <c r="F1575" s="4">
        <f t="shared" si="96"/>
        <v>9.6773181098330167E+69</v>
      </c>
      <c r="G1575" s="4">
        <f t="shared" si="97"/>
        <v>9.6773181098330167E+69</v>
      </c>
      <c r="H1575" s="4">
        <f>SalaryFTECount*SalaryPerFTE*(1+SalaryGrowth)^1573</f>
        <v>1.3051547602870904E+32</v>
      </c>
      <c r="I1575" s="4">
        <f>SimOpsY1*(1+SimOpsGrowth)^1573</f>
        <v>1.1289862059014147E+57</v>
      </c>
      <c r="J1575" s="4">
        <f>TrainDevY1*(1+TrainDevGrowth)^1573</f>
        <v>5.6449310295070737E+56</v>
      </c>
      <c r="K1575" s="4">
        <f>AdminY1*(1+AdminGrowth)^1573</f>
        <v>1.2798411130692923E+44</v>
      </c>
      <c r="L1575" s="4">
        <f t="shared" si="98"/>
        <v>1.6934793088522498E+57</v>
      </c>
      <c r="M1575" s="4">
        <f t="shared" si="99"/>
        <v>9.6773181098313233E+69</v>
      </c>
    </row>
    <row r="1576" spans="1:13" x14ac:dyDescent="0.2">
      <c r="A1576" s="3">
        <f>StartYear+1574</f>
        <v>3599</v>
      </c>
      <c r="B1576" s="4">
        <f>FacultyFTE*HoursPerWeek*WeeksPerYear*RatePerHour*(1+PracticeGrowth)^1574</f>
        <v>6.4766320380245288E+38</v>
      </c>
      <c r="C1576" s="4">
        <f>StudentsY1*(1+StudentGrowth)^1574*CreditsPerStudent*TuitionPerCredit</f>
        <v>4.0478950237653304E+39</v>
      </c>
      <c r="D1576" s="4">
        <f>SimRevY1*(1+SimGrowth)^1574</f>
        <v>7.0966999472108818E+69</v>
      </c>
      <c r="E1576" s="4">
        <f>FacDevRevY1*(1+FacDevGrowth)^1574</f>
        <v>3.5483499736054409E+69</v>
      </c>
      <c r="F1576" s="4">
        <f t="shared" si="96"/>
        <v>1.0645049920816323E+70</v>
      </c>
      <c r="G1576" s="4">
        <f t="shared" si="97"/>
        <v>1.0645049920816323E+70</v>
      </c>
      <c r="H1576" s="4">
        <f>SalaryFTECount*SalaryPerFTE*(1+SalaryGrowth)^1574</f>
        <v>1.3573609506985738E+32</v>
      </c>
      <c r="I1576" s="4">
        <f>SimOpsY1*(1+SimOpsGrowth)^1574</f>
        <v>1.2193051023735279E+57</v>
      </c>
      <c r="J1576" s="4">
        <f>TrainDevY1*(1+TrainDevGrowth)^1574</f>
        <v>6.0965255118676394E+56</v>
      </c>
      <c r="K1576" s="4">
        <f>AdminY1*(1+AdminGrowth)^1574</f>
        <v>1.3566315798534502E+44</v>
      </c>
      <c r="L1576" s="4">
        <f t="shared" si="98"/>
        <v>1.8289576535604274E+57</v>
      </c>
      <c r="M1576" s="4">
        <f t="shared" si="99"/>
        <v>1.0645049920814494E+70</v>
      </c>
    </row>
    <row r="1577" spans="1:13" x14ac:dyDescent="0.2">
      <c r="A1577" s="3">
        <f>StartYear+1575</f>
        <v>3600</v>
      </c>
      <c r="B1577" s="4">
        <f>FacultyFTE*HoursPerWeek*WeeksPerYear*RatePerHour*(1+PracticeGrowth)^1575</f>
        <v>6.8004636399257564E+38</v>
      </c>
      <c r="C1577" s="4">
        <f>StudentsY1*(1+StudentGrowth)^1575*CreditsPerStudent*TuitionPerCredit</f>
        <v>4.2502897749535976E+39</v>
      </c>
      <c r="D1577" s="4">
        <f>SimRevY1*(1+SimGrowth)^1575</f>
        <v>7.806369941931969E+69</v>
      </c>
      <c r="E1577" s="4">
        <f>FacDevRevY1*(1+FacDevGrowth)^1575</f>
        <v>3.9031849709659845E+69</v>
      </c>
      <c r="F1577" s="4">
        <f t="shared" si="96"/>
        <v>1.1709554912897954E+70</v>
      </c>
      <c r="G1577" s="4">
        <f t="shared" si="97"/>
        <v>1.1709554912897954E+70</v>
      </c>
      <c r="H1577" s="4">
        <f>SalaryFTECount*SalaryPerFTE*(1+SalaryGrowth)^1575</f>
        <v>1.4116553887265168E+32</v>
      </c>
      <c r="I1577" s="4">
        <f>SimOpsY1*(1+SimOpsGrowth)^1575</f>
        <v>1.3168495105634103E+57</v>
      </c>
      <c r="J1577" s="4">
        <f>TrainDevY1*(1+TrainDevGrowth)^1575</f>
        <v>6.5842475528170514E+56</v>
      </c>
      <c r="K1577" s="4">
        <f>AdminY1*(1+AdminGrowth)^1575</f>
        <v>1.4380294746446576E+44</v>
      </c>
      <c r="L1577" s="4">
        <f t="shared" si="98"/>
        <v>1.9752742658452594E+57</v>
      </c>
      <c r="M1577" s="4">
        <f t="shared" si="99"/>
        <v>1.1709554912895978E+70</v>
      </c>
    </row>
    <row r="1578" spans="1:13" x14ac:dyDescent="0.2">
      <c r="A1578" s="3">
        <f>StartYear+1576</f>
        <v>3601</v>
      </c>
      <c r="B1578" s="4">
        <f>FacultyFTE*HoursPerWeek*WeeksPerYear*RatePerHour*(1+PracticeGrowth)^1576</f>
        <v>7.1404868219220432E+38</v>
      </c>
      <c r="C1578" s="4">
        <f>StudentsY1*(1+StudentGrowth)^1576*CreditsPerStudent*TuitionPerCredit</f>
        <v>4.462804263701277E+39</v>
      </c>
      <c r="D1578" s="4">
        <f>SimRevY1*(1+SimGrowth)^1576</f>
        <v>8.587006936125165E+69</v>
      </c>
      <c r="E1578" s="4">
        <f>FacDevRevY1*(1+FacDevGrowth)^1576</f>
        <v>4.2935034680625825E+69</v>
      </c>
      <c r="F1578" s="4">
        <f t="shared" si="96"/>
        <v>1.2880510404187748E+70</v>
      </c>
      <c r="G1578" s="4">
        <f t="shared" si="97"/>
        <v>1.2880510404187748E+70</v>
      </c>
      <c r="H1578" s="4">
        <f>SalaryFTECount*SalaryPerFTE*(1+SalaryGrowth)^1576</f>
        <v>1.4681216042755775E+32</v>
      </c>
      <c r="I1578" s="4">
        <f>SimOpsY1*(1+SimOpsGrowth)^1576</f>
        <v>1.422197471408483E+57</v>
      </c>
      <c r="J1578" s="4">
        <f>TrainDevY1*(1+TrainDevGrowth)^1576</f>
        <v>7.1109873570424152E+56</v>
      </c>
      <c r="K1578" s="4">
        <f>AdminY1*(1+AdminGrowth)^1576</f>
        <v>1.5243112431233366E+44</v>
      </c>
      <c r="L1578" s="4">
        <f t="shared" si="98"/>
        <v>2.1332962071128767E+57</v>
      </c>
      <c r="M1578" s="4">
        <f t="shared" si="99"/>
        <v>1.2880510404185614E+70</v>
      </c>
    </row>
    <row r="1579" spans="1:13" x14ac:dyDescent="0.2">
      <c r="A1579" s="3">
        <f>StartYear+1577</f>
        <v>3602</v>
      </c>
      <c r="B1579" s="4">
        <f>FacultyFTE*HoursPerWeek*WeeksPerYear*RatePerHour*(1+PracticeGrowth)^1577</f>
        <v>7.497511163018147E+38</v>
      </c>
      <c r="C1579" s="4">
        <f>StudentsY1*(1+StudentGrowth)^1577*CreditsPerStudent*TuitionPerCredit</f>
        <v>4.6859444768863411E+39</v>
      </c>
      <c r="D1579" s="4">
        <f>SimRevY1*(1+SimGrowth)^1577</f>
        <v>9.4457076297376821E+69</v>
      </c>
      <c r="E1579" s="4">
        <f>FacDevRevY1*(1+FacDevGrowth)^1577</f>
        <v>4.7228538148688411E+69</v>
      </c>
      <c r="F1579" s="4">
        <f t="shared" si="96"/>
        <v>1.4168561444606524E+70</v>
      </c>
      <c r="G1579" s="4">
        <f t="shared" si="97"/>
        <v>1.4168561444606524E+70</v>
      </c>
      <c r="H1579" s="4">
        <f>SalaryFTECount*SalaryPerFTE*(1+SalaryGrowth)^1577</f>
        <v>1.5268464684466006E+32</v>
      </c>
      <c r="I1579" s="4">
        <f>SimOpsY1*(1+SimOpsGrowth)^1577</f>
        <v>1.5359732691211619E+57</v>
      </c>
      <c r="J1579" s="4">
        <f>TrainDevY1*(1+TrainDevGrowth)^1577</f>
        <v>7.6798663456058095E+56</v>
      </c>
      <c r="K1579" s="4">
        <f>AdminY1*(1+AdminGrowth)^1577</f>
        <v>1.6157699177107368E+44</v>
      </c>
      <c r="L1579" s="4">
        <f t="shared" si="98"/>
        <v>2.3039599036819045E+57</v>
      </c>
      <c r="M1579" s="4">
        <f t="shared" si="99"/>
        <v>1.4168561444604219E+70</v>
      </c>
    </row>
    <row r="1580" spans="1:13" x14ac:dyDescent="0.2">
      <c r="A1580" s="3">
        <f>StartYear+1578</f>
        <v>3603</v>
      </c>
      <c r="B1580" s="4">
        <f>FacultyFTE*HoursPerWeek*WeeksPerYear*RatePerHour*(1+PracticeGrowth)^1578</f>
        <v>7.8723867211690535E+38</v>
      </c>
      <c r="C1580" s="4">
        <f>StudentsY1*(1+StudentGrowth)^1578*CreditsPerStudent*TuitionPerCredit</f>
        <v>4.9202417007306582E+39</v>
      </c>
      <c r="D1580" s="4">
        <f>SimRevY1*(1+SimGrowth)^1578</f>
        <v>1.0390278392711451E+70</v>
      </c>
      <c r="E1580" s="4">
        <f>FacDevRevY1*(1+FacDevGrowth)^1578</f>
        <v>5.1951391963557256E+69</v>
      </c>
      <c r="F1580" s="4">
        <f t="shared" si="96"/>
        <v>1.5585417589067177E+70</v>
      </c>
      <c r="G1580" s="4">
        <f t="shared" si="97"/>
        <v>1.5585417589067177E+70</v>
      </c>
      <c r="H1580" s="4">
        <f>SalaryFTECount*SalaryPerFTE*(1+SalaryGrowth)^1578</f>
        <v>1.5879203271844647E+32</v>
      </c>
      <c r="I1580" s="4">
        <f>SimOpsY1*(1+SimOpsGrowth)^1578</f>
        <v>1.6588511306508548E+57</v>
      </c>
      <c r="J1580" s="4">
        <f>TrainDevY1*(1+TrainDevGrowth)^1578</f>
        <v>8.2942556532542739E+56</v>
      </c>
      <c r="K1580" s="4">
        <f>AdminY1*(1+AdminGrowth)^1578</f>
        <v>1.7127161127733814E+44</v>
      </c>
      <c r="L1580" s="4">
        <f t="shared" si="98"/>
        <v>2.4882766959764536E+57</v>
      </c>
      <c r="M1580" s="4">
        <f t="shared" si="99"/>
        <v>1.5585417589064688E+70</v>
      </c>
    </row>
    <row r="1581" spans="1:13" x14ac:dyDescent="0.2">
      <c r="A1581" s="3">
        <f>StartYear+1579</f>
        <v>3604</v>
      </c>
      <c r="B1581" s="4">
        <f>FacultyFTE*HoursPerWeek*WeeksPerYear*RatePerHour*(1+PracticeGrowth)^1579</f>
        <v>8.2660060572275069E+38</v>
      </c>
      <c r="C1581" s="4">
        <f>StudentsY1*(1+StudentGrowth)^1579*CreditsPerStudent*TuitionPerCredit</f>
        <v>5.1662537857671919E+39</v>
      </c>
      <c r="D1581" s="4">
        <f>SimRevY1*(1+SimGrowth)^1579</f>
        <v>1.14293062319826E+70</v>
      </c>
      <c r="E1581" s="4">
        <f>FacDevRevY1*(1+FacDevGrowth)^1579</f>
        <v>5.7146531159913E+69</v>
      </c>
      <c r="F1581" s="4">
        <f t="shared" si="96"/>
        <v>1.71439593479739E+70</v>
      </c>
      <c r="G1581" s="4">
        <f t="shared" si="97"/>
        <v>1.71439593479739E+70</v>
      </c>
      <c r="H1581" s="4">
        <f>SalaryFTECount*SalaryPerFTE*(1+SalaryGrowth)^1579</f>
        <v>1.6514371402718437E+32</v>
      </c>
      <c r="I1581" s="4">
        <f>SimOpsY1*(1+SimOpsGrowth)^1579</f>
        <v>1.7915592211029232E+57</v>
      </c>
      <c r="J1581" s="4">
        <f>TrainDevY1*(1+TrainDevGrowth)^1579</f>
        <v>8.9577961055146161E+56</v>
      </c>
      <c r="K1581" s="4">
        <f>AdminY1*(1+AdminGrowth)^1579</f>
        <v>1.8154790795397842E+44</v>
      </c>
      <c r="L1581" s="4">
        <f t="shared" si="98"/>
        <v>2.6873388316545662E+57</v>
      </c>
      <c r="M1581" s="4">
        <f t="shared" si="99"/>
        <v>1.7143959347971212E+70</v>
      </c>
    </row>
    <row r="1582" spans="1:13" x14ac:dyDescent="0.2">
      <c r="A1582" s="3">
        <f>StartYear+1580</f>
        <v>3605</v>
      </c>
      <c r="B1582" s="4">
        <f>FacultyFTE*HoursPerWeek*WeeksPerYear*RatePerHour*(1+PracticeGrowth)^1580</f>
        <v>8.6793063600888815E+38</v>
      </c>
      <c r="C1582" s="4">
        <f>StudentsY1*(1+StudentGrowth)^1580*CreditsPerStudent*TuitionPerCredit</f>
        <v>5.4245664750555512E+39</v>
      </c>
      <c r="D1582" s="4">
        <f>SimRevY1*(1+SimGrowth)^1580</f>
        <v>1.2572236855180859E+70</v>
      </c>
      <c r="E1582" s="4">
        <f>FacDevRevY1*(1+FacDevGrowth)^1580</f>
        <v>6.2861184275904296E+69</v>
      </c>
      <c r="F1582" s="4">
        <f t="shared" si="96"/>
        <v>1.885835528277129E+70</v>
      </c>
      <c r="G1582" s="4">
        <f t="shared" si="97"/>
        <v>1.885835528277129E+70</v>
      </c>
      <c r="H1582" s="4">
        <f>SalaryFTECount*SalaryPerFTE*(1+SalaryGrowth)^1580</f>
        <v>1.7174946258827176E+32</v>
      </c>
      <c r="I1582" s="4">
        <f>SimOpsY1*(1+SimOpsGrowth)^1580</f>
        <v>1.9348839587911574E+57</v>
      </c>
      <c r="J1582" s="4">
        <f>TrainDevY1*(1+TrainDevGrowth)^1580</f>
        <v>9.6744197939557869E+56</v>
      </c>
      <c r="K1582" s="4">
        <f>AdminY1*(1+AdminGrowth)^1580</f>
        <v>1.9244078243121716E+44</v>
      </c>
      <c r="L1582" s="4">
        <f t="shared" si="98"/>
        <v>2.9023259381869284E+57</v>
      </c>
      <c r="M1582" s="4">
        <f t="shared" si="99"/>
        <v>1.8858355282768388E+70</v>
      </c>
    </row>
    <row r="1583" spans="1:13" x14ac:dyDescent="0.2">
      <c r="A1583" s="3">
        <f>StartYear+1581</f>
        <v>3606</v>
      </c>
      <c r="B1583" s="4">
        <f>FacultyFTE*HoursPerWeek*WeeksPerYear*RatePerHour*(1+PracticeGrowth)^1581</f>
        <v>9.113271678093328E+38</v>
      </c>
      <c r="C1583" s="4">
        <f>StudentsY1*(1+StudentGrowth)^1581*CreditsPerStudent*TuitionPerCredit</f>
        <v>5.6957947988083295E+39</v>
      </c>
      <c r="D1583" s="4">
        <f>SimRevY1*(1+SimGrowth)^1581</f>
        <v>1.3829460540698946E+70</v>
      </c>
      <c r="E1583" s="4">
        <f>FacDevRevY1*(1+FacDevGrowth)^1581</f>
        <v>6.9147302703494728E+69</v>
      </c>
      <c r="F1583" s="4">
        <f t="shared" si="96"/>
        <v>2.0744190811048418E+70</v>
      </c>
      <c r="G1583" s="4">
        <f t="shared" si="97"/>
        <v>2.0744190811048418E+70</v>
      </c>
      <c r="H1583" s="4">
        <f>SalaryFTECount*SalaryPerFTE*(1+SalaryGrowth)^1581</f>
        <v>1.7861944109180259E+32</v>
      </c>
      <c r="I1583" s="4">
        <f>SimOpsY1*(1+SimOpsGrowth)^1581</f>
        <v>2.0896746754944498E+57</v>
      </c>
      <c r="J1583" s="4">
        <f>TrainDevY1*(1+TrainDevGrowth)^1581</f>
        <v>1.0448373377472249E+57</v>
      </c>
      <c r="K1583" s="4">
        <f>AdminY1*(1+AdminGrowth)^1581</f>
        <v>2.0398722937709018E+44</v>
      </c>
      <c r="L1583" s="4">
        <f t="shared" si="98"/>
        <v>3.1345120132418786E+57</v>
      </c>
      <c r="M1583" s="4">
        <f t="shared" si="99"/>
        <v>2.0744190811045283E+70</v>
      </c>
    </row>
    <row r="1584" spans="1:13" x14ac:dyDescent="0.2">
      <c r="A1584" s="3">
        <f>StartYear+1582</f>
        <v>3607</v>
      </c>
      <c r="B1584" s="4">
        <f>FacultyFTE*HoursPerWeek*WeeksPerYear*RatePerHour*(1+PracticeGrowth)^1582</f>
        <v>9.5689352619979915E+38</v>
      </c>
      <c r="C1584" s="4">
        <f>StudentsY1*(1+StudentGrowth)^1582*CreditsPerStudent*TuitionPerCredit</f>
        <v>5.9805845387487446E+39</v>
      </c>
      <c r="D1584" s="4">
        <f>SimRevY1*(1+SimGrowth)^1582</f>
        <v>1.5212406594768841E+70</v>
      </c>
      <c r="E1584" s="4">
        <f>FacDevRevY1*(1+FacDevGrowth)^1582</f>
        <v>7.6062032973844206E+69</v>
      </c>
      <c r="F1584" s="4">
        <f t="shared" si="96"/>
        <v>2.281860989215326E+70</v>
      </c>
      <c r="G1584" s="4">
        <f t="shared" si="97"/>
        <v>2.281860989215326E+70</v>
      </c>
      <c r="H1584" s="4">
        <f>SalaryFTECount*SalaryPerFTE*(1+SalaryGrowth)^1582</f>
        <v>1.8576421873547472E+32</v>
      </c>
      <c r="I1584" s="4">
        <f>SimOpsY1*(1+SimOpsGrowth)^1582</f>
        <v>2.2568486495340061E+57</v>
      </c>
      <c r="J1584" s="4">
        <f>TrainDevY1*(1+TrainDevGrowth)^1582</f>
        <v>1.1284243247670031E+57</v>
      </c>
      <c r="K1584" s="4">
        <f>AdminY1*(1+AdminGrowth)^1582</f>
        <v>2.1622646313971563E+44</v>
      </c>
      <c r="L1584" s="4">
        <f t="shared" si="98"/>
        <v>3.3852729743012255E+57</v>
      </c>
      <c r="M1584" s="4">
        <f t="shared" si="99"/>
        <v>2.2818609892149877E+70</v>
      </c>
    </row>
    <row r="1585" spans="1:13" x14ac:dyDescent="0.2">
      <c r="A1585" s="3">
        <f>StartYear+1583</f>
        <v>3608</v>
      </c>
      <c r="B1585" s="4">
        <f>FacultyFTE*HoursPerWeek*WeeksPerYear*RatePerHour*(1+PracticeGrowth)^1583</f>
        <v>1.0047382025097893E+39</v>
      </c>
      <c r="C1585" s="4">
        <f>StudentsY1*(1+StudentGrowth)^1583*CreditsPerStudent*TuitionPerCredit</f>
        <v>6.2796137656861822E+39</v>
      </c>
      <c r="D1585" s="4">
        <f>SimRevY1*(1+SimGrowth)^1583</f>
        <v>1.6733647254245726E+70</v>
      </c>
      <c r="E1585" s="4">
        <f>FacDevRevY1*(1+FacDevGrowth)^1583</f>
        <v>8.3668236271228632E+69</v>
      </c>
      <c r="F1585" s="4">
        <f t="shared" si="96"/>
        <v>2.510047088136859E+70</v>
      </c>
      <c r="G1585" s="4">
        <f t="shared" si="97"/>
        <v>2.510047088136859E+70</v>
      </c>
      <c r="H1585" s="4">
        <f>SalaryFTECount*SalaryPerFTE*(1+SalaryGrowth)^1583</f>
        <v>1.9319478748489368E+32</v>
      </c>
      <c r="I1585" s="4">
        <f>SimOpsY1*(1+SimOpsGrowth)^1583</f>
        <v>2.4373965414967267E+57</v>
      </c>
      <c r="J1585" s="4">
        <f>TrainDevY1*(1+TrainDevGrowth)^1583</f>
        <v>1.2186982707483634E+57</v>
      </c>
      <c r="K1585" s="4">
        <f>AdminY1*(1+AdminGrowth)^1583</f>
        <v>2.2920005092809861E+44</v>
      </c>
      <c r="L1585" s="4">
        <f t="shared" si="98"/>
        <v>3.656094812245319E+57</v>
      </c>
      <c r="M1585" s="4">
        <f t="shared" si="99"/>
        <v>2.5100470881364933E+70</v>
      </c>
    </row>
    <row r="1586" spans="1:13" x14ac:dyDescent="0.2">
      <c r="A1586" s="3">
        <f>StartYear+1584</f>
        <v>3609</v>
      </c>
      <c r="B1586" s="4">
        <f>FacultyFTE*HoursPerWeek*WeeksPerYear*RatePerHour*(1+PracticeGrowth)^1584</f>
        <v>1.0549751126352789E+39</v>
      </c>
      <c r="C1586" s="4">
        <f>StudentsY1*(1+StudentGrowth)^1584*CreditsPerStudent*TuitionPerCredit</f>
        <v>6.5935944539704925E+39</v>
      </c>
      <c r="D1586" s="4">
        <f>SimRevY1*(1+SimGrowth)^1584</f>
        <v>1.8407011979670298E+70</v>
      </c>
      <c r="E1586" s="4">
        <f>FacDevRevY1*(1+FacDevGrowth)^1584</f>
        <v>9.2035059898351489E+69</v>
      </c>
      <c r="F1586" s="4">
        <f t="shared" si="96"/>
        <v>2.7610517969505447E+70</v>
      </c>
      <c r="G1586" s="4">
        <f t="shared" si="97"/>
        <v>2.7610517969505447E+70</v>
      </c>
      <c r="H1586" s="4">
        <f>SalaryFTECount*SalaryPerFTE*(1+SalaryGrowth)^1584</f>
        <v>2.0092257898428946E+32</v>
      </c>
      <c r="I1586" s="4">
        <f>SimOpsY1*(1+SimOpsGrowth)^1584</f>
        <v>2.6323882648164647E+57</v>
      </c>
      <c r="J1586" s="4">
        <f>TrainDevY1*(1+TrainDevGrowth)^1584</f>
        <v>1.3161941324082324E+57</v>
      </c>
      <c r="K1586" s="4">
        <f>AdminY1*(1+AdminGrowth)^1584</f>
        <v>2.4295205398378451E+44</v>
      </c>
      <c r="L1586" s="4">
        <f t="shared" si="98"/>
        <v>3.9485823972249402E+57</v>
      </c>
      <c r="M1586" s="4">
        <f t="shared" si="99"/>
        <v>2.7610517969501499E+70</v>
      </c>
    </row>
    <row r="1587" spans="1:13" x14ac:dyDescent="0.2">
      <c r="A1587" s="3">
        <f>StartYear+1585</f>
        <v>3610</v>
      </c>
      <c r="B1587" s="4">
        <f>FacultyFTE*HoursPerWeek*WeeksPerYear*RatePerHour*(1+PracticeGrowth)^1585</f>
        <v>1.1077238682670427E+39</v>
      </c>
      <c r="C1587" s="4">
        <f>StudentsY1*(1+StudentGrowth)^1585*CreditsPerStudent*TuitionPerCredit</f>
        <v>6.9232741766690184E+39</v>
      </c>
      <c r="D1587" s="4">
        <f>SimRevY1*(1+SimGrowth)^1585</f>
        <v>2.0247713177637331E+70</v>
      </c>
      <c r="E1587" s="4">
        <f>FacDevRevY1*(1+FacDevGrowth)^1585</f>
        <v>1.0123856588818666E+70</v>
      </c>
      <c r="F1587" s="4">
        <f t="shared" si="96"/>
        <v>3.0371569766456E+70</v>
      </c>
      <c r="G1587" s="4">
        <f t="shared" si="97"/>
        <v>3.0371569766456E+70</v>
      </c>
      <c r="H1587" s="4">
        <f>SalaryFTECount*SalaryPerFTE*(1+SalaryGrowth)^1585</f>
        <v>2.0895948214366109E+32</v>
      </c>
      <c r="I1587" s="4">
        <f>SimOpsY1*(1+SimOpsGrowth)^1585</f>
        <v>2.8429793260017823E+57</v>
      </c>
      <c r="J1587" s="4">
        <f>TrainDevY1*(1+TrainDevGrowth)^1585</f>
        <v>1.4214896630008911E+57</v>
      </c>
      <c r="K1587" s="4">
        <f>AdminY1*(1+AdminGrowth)^1585</f>
        <v>2.5752917722281156E+44</v>
      </c>
      <c r="L1587" s="4">
        <f t="shared" si="98"/>
        <v>4.2644689890029316E+57</v>
      </c>
      <c r="M1587" s="4">
        <f t="shared" si="99"/>
        <v>3.0371569766451733E+70</v>
      </c>
    </row>
    <row r="1588" spans="1:13" x14ac:dyDescent="0.2">
      <c r="A1588" s="3">
        <f>StartYear+1586</f>
        <v>3611</v>
      </c>
      <c r="B1588" s="4">
        <f>FacultyFTE*HoursPerWeek*WeeksPerYear*RatePerHour*(1+PracticeGrowth)^1586</f>
        <v>1.1631100616803949E+39</v>
      </c>
      <c r="C1588" s="4">
        <f>StudentsY1*(1+StudentGrowth)^1586*CreditsPerStudent*TuitionPerCredit</f>
        <v>7.2694378855024683E+39</v>
      </c>
      <c r="D1588" s="4">
        <f>SimRevY1*(1+SimGrowth)^1586</f>
        <v>2.2272484495401069E+70</v>
      </c>
      <c r="E1588" s="4">
        <f>FacDevRevY1*(1+FacDevGrowth)^1586</f>
        <v>1.1136242247700535E+70</v>
      </c>
      <c r="F1588" s="4">
        <f t="shared" si="96"/>
        <v>3.3408726743101602E+70</v>
      </c>
      <c r="G1588" s="4">
        <f t="shared" si="97"/>
        <v>3.3408726743101602E+70</v>
      </c>
      <c r="H1588" s="4">
        <f>SalaryFTECount*SalaryPerFTE*(1+SalaryGrowth)^1586</f>
        <v>2.1731786142940754E+32</v>
      </c>
      <c r="I1588" s="4">
        <f>SimOpsY1*(1+SimOpsGrowth)^1586</f>
        <v>3.0704176720819246E+57</v>
      </c>
      <c r="J1588" s="4">
        <f>TrainDevY1*(1+TrainDevGrowth)^1586</f>
        <v>1.5352088360409623E+57</v>
      </c>
      <c r="K1588" s="4">
        <f>AdminY1*(1+AdminGrowth)^1586</f>
        <v>2.7298092785618024E+44</v>
      </c>
      <c r="L1588" s="4">
        <f t="shared" si="98"/>
        <v>4.6056265081231604E+57</v>
      </c>
      <c r="M1588" s="4">
        <f t="shared" si="99"/>
        <v>3.3408726743096999E+70</v>
      </c>
    </row>
    <row r="1589" spans="1:13" x14ac:dyDescent="0.2">
      <c r="A1589" s="3">
        <f>StartYear+1587</f>
        <v>3612</v>
      </c>
      <c r="B1589" s="4">
        <f>FacultyFTE*HoursPerWeek*WeeksPerYear*RatePerHour*(1+PracticeGrowth)^1587</f>
        <v>1.2212655647644147E+39</v>
      </c>
      <c r="C1589" s="4">
        <f>StudentsY1*(1+StudentGrowth)^1587*CreditsPerStudent*TuitionPerCredit</f>
        <v>7.6329097797775919E+39</v>
      </c>
      <c r="D1589" s="4">
        <f>SimRevY1*(1+SimGrowth)^1587</f>
        <v>2.4499732944941178E+70</v>
      </c>
      <c r="E1589" s="4">
        <f>FacDevRevY1*(1+FacDevGrowth)^1587</f>
        <v>1.2249866472470589E+70</v>
      </c>
      <c r="F1589" s="4">
        <f t="shared" si="96"/>
        <v>3.6749599417411764E+70</v>
      </c>
      <c r="G1589" s="4">
        <f t="shared" si="97"/>
        <v>3.6749599417411764E+70</v>
      </c>
      <c r="H1589" s="4">
        <f>SalaryFTECount*SalaryPerFTE*(1+SalaryGrowth)^1587</f>
        <v>2.2601057588658386E+32</v>
      </c>
      <c r="I1589" s="4">
        <f>SimOpsY1*(1+SimOpsGrowth)^1587</f>
        <v>3.3160510858484793E+57</v>
      </c>
      <c r="J1589" s="4">
        <f>TrainDevY1*(1+TrainDevGrowth)^1587</f>
        <v>1.6580255429242397E+57</v>
      </c>
      <c r="K1589" s="4">
        <f>AdminY1*(1+AdminGrowth)^1587</f>
        <v>2.8935978352755112E+44</v>
      </c>
      <c r="L1589" s="4">
        <f t="shared" si="98"/>
        <v>4.9740766287730078E+57</v>
      </c>
      <c r="M1589" s="4">
        <f t="shared" si="99"/>
        <v>3.6749599417406793E+70</v>
      </c>
    </row>
    <row r="1590" spans="1:13" x14ac:dyDescent="0.2">
      <c r="A1590" s="3">
        <f>StartYear+1588</f>
        <v>3613</v>
      </c>
      <c r="B1590" s="4">
        <f>FacultyFTE*HoursPerWeek*WeeksPerYear*RatePerHour*(1+PracticeGrowth)^1588</f>
        <v>1.2823288430026355E+39</v>
      </c>
      <c r="C1590" s="4">
        <f>StudentsY1*(1+StudentGrowth)^1588*CreditsPerStudent*TuitionPerCredit</f>
        <v>8.0145552687664712E+39</v>
      </c>
      <c r="D1590" s="4">
        <f>SimRevY1*(1+SimGrowth)^1588</f>
        <v>2.6949706239435294E+70</v>
      </c>
      <c r="E1590" s="4">
        <f>FacDevRevY1*(1+FacDevGrowth)^1588</f>
        <v>1.3474853119717647E+70</v>
      </c>
      <c r="F1590" s="4">
        <f t="shared" si="96"/>
        <v>4.0424559359152938E+70</v>
      </c>
      <c r="G1590" s="4">
        <f t="shared" si="97"/>
        <v>4.0424559359152938E+70</v>
      </c>
      <c r="H1590" s="4">
        <f>SalaryFTECount*SalaryPerFTE*(1+SalaryGrowth)^1588</f>
        <v>2.3505099892204719E+32</v>
      </c>
      <c r="I1590" s="4">
        <f>SimOpsY1*(1+SimOpsGrowth)^1588</f>
        <v>3.5813351727163578E+57</v>
      </c>
      <c r="J1590" s="4">
        <f>TrainDevY1*(1+TrainDevGrowth)^1588</f>
        <v>1.7906675863581789E+57</v>
      </c>
      <c r="K1590" s="4">
        <f>AdminY1*(1+AdminGrowth)^1588</f>
        <v>3.0672137053920415E+44</v>
      </c>
      <c r="L1590" s="4">
        <f t="shared" si="98"/>
        <v>5.372002759074843E+57</v>
      </c>
      <c r="M1590" s="4">
        <f t="shared" si="99"/>
        <v>4.0424559359147568E+70</v>
      </c>
    </row>
    <row r="1591" spans="1:13" x14ac:dyDescent="0.2">
      <c r="A1591" s="3">
        <f>StartYear+1589</f>
        <v>3614</v>
      </c>
      <c r="B1591" s="4">
        <f>FacultyFTE*HoursPerWeek*WeeksPerYear*RatePerHour*(1+PracticeGrowth)^1589</f>
        <v>1.3464452851527671E+39</v>
      </c>
      <c r="C1591" s="4">
        <f>StudentsY1*(1+StudentGrowth)^1589*CreditsPerStudent*TuitionPerCredit</f>
        <v>8.4152830322047945E+39</v>
      </c>
      <c r="D1591" s="4">
        <f>SimRevY1*(1+SimGrowth)^1589</f>
        <v>2.9644676863378823E+70</v>
      </c>
      <c r="E1591" s="4">
        <f>FacDevRevY1*(1+FacDevGrowth)^1589</f>
        <v>1.4822338431689412E+70</v>
      </c>
      <c r="F1591" s="4">
        <f t="shared" si="96"/>
        <v>4.4467015295068235E+70</v>
      </c>
      <c r="G1591" s="4">
        <f t="shared" si="97"/>
        <v>4.4467015295068235E+70</v>
      </c>
      <c r="H1591" s="4">
        <f>SalaryFTECount*SalaryPerFTE*(1+SalaryGrowth)^1589</f>
        <v>2.4445303887892913E+32</v>
      </c>
      <c r="I1591" s="4">
        <f>SimOpsY1*(1+SimOpsGrowth)^1589</f>
        <v>3.8678419865336659E+57</v>
      </c>
      <c r="J1591" s="4">
        <f>TrainDevY1*(1+TrainDevGrowth)^1589</f>
        <v>1.9339209932668329E+57</v>
      </c>
      <c r="K1591" s="4">
        <f>AdminY1*(1+AdminGrowth)^1589</f>
        <v>3.2512465277155648E+44</v>
      </c>
      <c r="L1591" s="4">
        <f t="shared" si="98"/>
        <v>5.8017629798008243E+57</v>
      </c>
      <c r="M1591" s="4">
        <f t="shared" si="99"/>
        <v>4.4467015295062436E+70</v>
      </c>
    </row>
    <row r="1592" spans="1:13" x14ac:dyDescent="0.2">
      <c r="A1592" s="3">
        <f>StartYear+1590</f>
        <v>3615</v>
      </c>
      <c r="B1592" s="4">
        <f>FacultyFTE*HoursPerWeek*WeeksPerYear*RatePerHour*(1+PracticeGrowth)^1590</f>
        <v>1.4137675494104055E+39</v>
      </c>
      <c r="C1592" s="4">
        <f>StudentsY1*(1+StudentGrowth)^1590*CreditsPerStudent*TuitionPerCredit</f>
        <v>8.8360471838150341E+39</v>
      </c>
      <c r="D1592" s="4">
        <f>SimRevY1*(1+SimGrowth)^1590</f>
        <v>3.2609144549716713E+70</v>
      </c>
      <c r="E1592" s="4">
        <f>FacDevRevY1*(1+FacDevGrowth)^1590</f>
        <v>1.6304572274858356E+70</v>
      </c>
      <c r="F1592" s="4">
        <f t="shared" si="96"/>
        <v>4.8913716824575072E+70</v>
      </c>
      <c r="G1592" s="4">
        <f t="shared" si="97"/>
        <v>4.8913716824575072E+70</v>
      </c>
      <c r="H1592" s="4">
        <f>SalaryFTECount*SalaryPerFTE*(1+SalaryGrowth)^1590</f>
        <v>2.5423116043408627E+32</v>
      </c>
      <c r="I1592" s="4">
        <f>SimOpsY1*(1+SimOpsGrowth)^1590</f>
        <v>4.1772693454563599E+57</v>
      </c>
      <c r="J1592" s="4">
        <f>TrainDevY1*(1+TrainDevGrowth)^1590</f>
        <v>2.0886346727281799E+57</v>
      </c>
      <c r="K1592" s="4">
        <f>AdminY1*(1+AdminGrowth)^1590</f>
        <v>3.4463213193784993E+44</v>
      </c>
      <c r="L1592" s="4">
        <f t="shared" si="98"/>
        <v>6.2659040181848848E+57</v>
      </c>
      <c r="M1592" s="4">
        <f t="shared" si="99"/>
        <v>4.8913716824568807E+70</v>
      </c>
    </row>
    <row r="1593" spans="1:13" x14ac:dyDescent="0.2">
      <c r="A1593" s="3">
        <f>StartYear+1591</f>
        <v>3616</v>
      </c>
      <c r="B1593" s="4">
        <f>FacultyFTE*HoursPerWeek*WeeksPerYear*RatePerHour*(1+PracticeGrowth)^1591</f>
        <v>1.4844559268809259E+39</v>
      </c>
      <c r="C1593" s="4">
        <f>StudentsY1*(1+StudentGrowth)^1591*CreditsPerStudent*TuitionPerCredit</f>
        <v>9.2778495430057873E+39</v>
      </c>
      <c r="D1593" s="4">
        <f>SimRevY1*(1+SimGrowth)^1591</f>
        <v>3.5870059004688387E+70</v>
      </c>
      <c r="E1593" s="4">
        <f>FacDevRevY1*(1+FacDevGrowth)^1591</f>
        <v>1.7935029502344194E+70</v>
      </c>
      <c r="F1593" s="4">
        <f t="shared" si="96"/>
        <v>5.3805088507032581E+70</v>
      </c>
      <c r="G1593" s="4">
        <f t="shared" si="97"/>
        <v>5.3805088507032581E+70</v>
      </c>
      <c r="H1593" s="4">
        <f>SalaryFTECount*SalaryPerFTE*(1+SalaryGrowth)^1591</f>
        <v>2.6440040685144973E+32</v>
      </c>
      <c r="I1593" s="4">
        <f>SimOpsY1*(1+SimOpsGrowth)^1591</f>
        <v>4.5114508930928687E+57</v>
      </c>
      <c r="J1593" s="4">
        <f>TrainDevY1*(1+TrainDevGrowth)^1591</f>
        <v>2.2557254465464343E+57</v>
      </c>
      <c r="K1593" s="4">
        <f>AdminY1*(1+AdminGrowth)^1591</f>
        <v>3.6531005985412097E+44</v>
      </c>
      <c r="L1593" s="4">
        <f t="shared" si="98"/>
        <v>6.7671763396396689E+57</v>
      </c>
      <c r="M1593" s="4">
        <f t="shared" si="99"/>
        <v>5.3805088507025813E+70</v>
      </c>
    </row>
    <row r="1594" spans="1:13" x14ac:dyDescent="0.2">
      <c r="A1594" s="3">
        <f>StartYear+1592</f>
        <v>3617</v>
      </c>
      <c r="B1594" s="4">
        <f>FacultyFTE*HoursPerWeek*WeeksPerYear*RatePerHour*(1+PracticeGrowth)^1592</f>
        <v>1.5586787232249721E+39</v>
      </c>
      <c r="C1594" s="4">
        <f>StudentsY1*(1+StudentGrowth)^1592*CreditsPerStudent*TuitionPerCredit</f>
        <v>9.7417420201560745E+39</v>
      </c>
      <c r="D1594" s="4">
        <f>SimRevY1*(1+SimGrowth)^1592</f>
        <v>3.9457064905157222E+70</v>
      </c>
      <c r="E1594" s="4">
        <f>FacDevRevY1*(1+FacDevGrowth)^1592</f>
        <v>1.9728532452578611E+70</v>
      </c>
      <c r="F1594" s="4">
        <f t="shared" si="96"/>
        <v>5.918559735773583E+70</v>
      </c>
      <c r="G1594" s="4">
        <f t="shared" si="97"/>
        <v>5.918559735773583E+70</v>
      </c>
      <c r="H1594" s="4">
        <f>SalaryFTECount*SalaryPerFTE*(1+SalaryGrowth)^1592</f>
        <v>2.7497642312550774E+32</v>
      </c>
      <c r="I1594" s="4">
        <f>SimOpsY1*(1+SimOpsGrowth)^1592</f>
        <v>4.8723669645402987E+57</v>
      </c>
      <c r="J1594" s="4">
        <f>TrainDevY1*(1+TrainDevGrowth)^1592</f>
        <v>2.4361834822701494E+57</v>
      </c>
      <c r="K1594" s="4">
        <f>AdminY1*(1+AdminGrowth)^1592</f>
        <v>3.8722866344536805E+44</v>
      </c>
      <c r="L1594" s="4">
        <f t="shared" si="98"/>
        <v>7.3085504468108362E+57</v>
      </c>
      <c r="M1594" s="4">
        <f t="shared" si="99"/>
        <v>5.9185597357728523E+70</v>
      </c>
    </row>
    <row r="1595" spans="1:13" x14ac:dyDescent="0.2">
      <c r="A1595" s="3">
        <f>StartYear+1593</f>
        <v>3618</v>
      </c>
      <c r="B1595" s="4">
        <f>FacultyFTE*HoursPerWeek*WeeksPerYear*RatePerHour*(1+PracticeGrowth)^1593</f>
        <v>1.6366126593862208E+39</v>
      </c>
      <c r="C1595" s="4">
        <f>StudentsY1*(1+StudentGrowth)^1593*CreditsPerStudent*TuitionPerCredit</f>
        <v>1.022882912116388E+40</v>
      </c>
      <c r="D1595" s="4">
        <f>SimRevY1*(1+SimGrowth)^1593</f>
        <v>4.3402771395672947E+70</v>
      </c>
      <c r="E1595" s="4">
        <f>FacDevRevY1*(1+FacDevGrowth)^1593</f>
        <v>2.1701385697836474E+70</v>
      </c>
      <c r="F1595" s="4">
        <f t="shared" si="96"/>
        <v>6.5104157093509424E+70</v>
      </c>
      <c r="G1595" s="4">
        <f t="shared" si="97"/>
        <v>6.5104157093509424E+70</v>
      </c>
      <c r="H1595" s="4">
        <f>SalaryFTECount*SalaryPerFTE*(1+SalaryGrowth)^1593</f>
        <v>2.8597548005052812E+32</v>
      </c>
      <c r="I1595" s="4">
        <f>SimOpsY1*(1+SimOpsGrowth)^1593</f>
        <v>5.2621563217035227E+57</v>
      </c>
      <c r="J1595" s="4">
        <f>TrainDevY1*(1+TrainDevGrowth)^1593</f>
        <v>2.6310781608517613E+57</v>
      </c>
      <c r="K1595" s="4">
        <f>AdminY1*(1+AdminGrowth)^1593</f>
        <v>4.104623832520902E+44</v>
      </c>
      <c r="L1595" s="4">
        <f t="shared" si="98"/>
        <v>7.8932344825556942E+57</v>
      </c>
      <c r="M1595" s="4">
        <f t="shared" si="99"/>
        <v>6.5104157093501529E+70</v>
      </c>
    </row>
    <row r="1596" spans="1:13" x14ac:dyDescent="0.2">
      <c r="A1596" s="3">
        <f>StartYear+1594</f>
        <v>3619</v>
      </c>
      <c r="B1596" s="4">
        <f>FacultyFTE*HoursPerWeek*WeeksPerYear*RatePerHour*(1+PracticeGrowth)^1594</f>
        <v>1.7184432923555319E+39</v>
      </c>
      <c r="C1596" s="4">
        <f>StudentsY1*(1+StudentGrowth)^1594*CreditsPerStudent*TuitionPerCredit</f>
        <v>1.0740270577222074E+40</v>
      </c>
      <c r="D1596" s="4">
        <f>SimRevY1*(1+SimGrowth)^1594</f>
        <v>4.7743048535240248E+70</v>
      </c>
      <c r="E1596" s="4">
        <f>FacDevRevY1*(1+FacDevGrowth)^1594</f>
        <v>2.3871524267620124E+70</v>
      </c>
      <c r="F1596" s="4">
        <f t="shared" si="96"/>
        <v>7.1614572802860372E+70</v>
      </c>
      <c r="G1596" s="4">
        <f t="shared" si="97"/>
        <v>7.1614572802860372E+70</v>
      </c>
      <c r="H1596" s="4">
        <f>SalaryFTECount*SalaryPerFTE*(1+SalaryGrowth)^1594</f>
        <v>2.9741449925254919E+32</v>
      </c>
      <c r="I1596" s="4">
        <f>SimOpsY1*(1+SimOpsGrowth)^1594</f>
        <v>5.683128827439805E+57</v>
      </c>
      <c r="J1596" s="4">
        <f>TrainDevY1*(1+TrainDevGrowth)^1594</f>
        <v>2.8415644137199025E+57</v>
      </c>
      <c r="K1596" s="4">
        <f>AdminY1*(1+AdminGrowth)^1594</f>
        <v>4.3509012624721561E+44</v>
      </c>
      <c r="L1596" s="4">
        <f t="shared" si="98"/>
        <v>8.5246932411601427E+57</v>
      </c>
      <c r="M1596" s="4">
        <f t="shared" si="99"/>
        <v>7.1614572802851851E+70</v>
      </c>
    </row>
    <row r="1597" spans="1:13" x14ac:dyDescent="0.2">
      <c r="A1597" s="3">
        <f>StartYear+1595</f>
        <v>3620</v>
      </c>
      <c r="B1597" s="4">
        <f>FacultyFTE*HoursPerWeek*WeeksPerYear*RatePerHour*(1+PracticeGrowth)^1595</f>
        <v>1.8043654569733088E+39</v>
      </c>
      <c r="C1597" s="4">
        <f>StudentsY1*(1+StudentGrowth)^1595*CreditsPerStudent*TuitionPerCredit</f>
        <v>1.127728410608318E+40</v>
      </c>
      <c r="D1597" s="4">
        <f>SimRevY1*(1+SimGrowth)^1595</f>
        <v>5.2517353388764279E+70</v>
      </c>
      <c r="E1597" s="4">
        <f>FacDevRevY1*(1+FacDevGrowth)^1595</f>
        <v>2.6258676694382139E+70</v>
      </c>
      <c r="F1597" s="4">
        <f t="shared" si="96"/>
        <v>7.8776030083146421E+70</v>
      </c>
      <c r="G1597" s="4">
        <f t="shared" si="97"/>
        <v>7.8776030083146421E+70</v>
      </c>
      <c r="H1597" s="4">
        <f>SalaryFTECount*SalaryPerFTE*(1+SalaryGrowth)^1595</f>
        <v>3.0931107922265117E+32</v>
      </c>
      <c r="I1597" s="4">
        <f>SimOpsY1*(1+SimOpsGrowth)^1595</f>
        <v>6.1377791336349883E+57</v>
      </c>
      <c r="J1597" s="4">
        <f>TrainDevY1*(1+TrainDevGrowth)^1595</f>
        <v>3.0688895668174941E+57</v>
      </c>
      <c r="K1597" s="4">
        <f>AdminY1*(1+AdminGrowth)^1595</f>
        <v>4.6119553382204865E+44</v>
      </c>
      <c r="L1597" s="4">
        <f t="shared" si="98"/>
        <v>9.206668700452943E+57</v>
      </c>
      <c r="M1597" s="4">
        <f t="shared" si="99"/>
        <v>7.8776030083137214E+70</v>
      </c>
    </row>
    <row r="1598" spans="1:13" x14ac:dyDescent="0.2">
      <c r="A1598" s="3">
        <f>StartYear+1596</f>
        <v>3621</v>
      </c>
      <c r="B1598" s="4">
        <f>FacultyFTE*HoursPerWeek*WeeksPerYear*RatePerHour*(1+PracticeGrowth)^1596</f>
        <v>1.8945837298219736E+39</v>
      </c>
      <c r="C1598" s="4">
        <f>StudentsY1*(1+StudentGrowth)^1596*CreditsPerStudent*TuitionPerCredit</f>
        <v>1.1841148311387336E+40</v>
      </c>
      <c r="D1598" s="4">
        <f>SimRevY1*(1+SimGrowth)^1596</f>
        <v>5.7769088727640709E+70</v>
      </c>
      <c r="E1598" s="4">
        <f>FacDevRevY1*(1+FacDevGrowth)^1596</f>
        <v>2.8884544363820355E+70</v>
      </c>
      <c r="F1598" s="4">
        <f t="shared" si="96"/>
        <v>8.6653633091461064E+70</v>
      </c>
      <c r="G1598" s="4">
        <f t="shared" si="97"/>
        <v>8.6653633091461064E+70</v>
      </c>
      <c r="H1598" s="4">
        <f>SalaryFTECount*SalaryPerFTE*(1+SalaryGrowth)^1596</f>
        <v>3.2168352239155729E+32</v>
      </c>
      <c r="I1598" s="4">
        <f>SimOpsY1*(1+SimOpsGrowth)^1596</f>
        <v>6.6288014643257886E+57</v>
      </c>
      <c r="J1598" s="4">
        <f>TrainDevY1*(1+TrainDevGrowth)^1596</f>
        <v>3.3144007321628943E+57</v>
      </c>
      <c r="K1598" s="4">
        <f>AdminY1*(1+AdminGrowth)^1596</f>
        <v>4.8886726585137156E+44</v>
      </c>
      <c r="L1598" s="4">
        <f t="shared" si="98"/>
        <v>9.9432021964891714E+57</v>
      </c>
      <c r="M1598" s="4">
        <f t="shared" si="99"/>
        <v>8.6653633091451121E+70</v>
      </c>
    </row>
    <row r="1599" spans="1:13" x14ac:dyDescent="0.2">
      <c r="A1599" s="3">
        <f>StartYear+1597</f>
        <v>3622</v>
      </c>
      <c r="B1599" s="4">
        <f>FacultyFTE*HoursPerWeek*WeeksPerYear*RatePerHour*(1+PracticeGrowth)^1597</f>
        <v>1.9893129163130729E+39</v>
      </c>
      <c r="C1599" s="4">
        <f>StudentsY1*(1+StudentGrowth)^1597*CreditsPerStudent*TuitionPerCredit</f>
        <v>1.2433205726956704E+40</v>
      </c>
      <c r="D1599" s="4">
        <f>SimRevY1*(1+SimGrowth)^1597</f>
        <v>6.3545997600404788E+70</v>
      </c>
      <c r="E1599" s="4">
        <f>FacDevRevY1*(1+FacDevGrowth)^1597</f>
        <v>3.1772998800202394E+70</v>
      </c>
      <c r="F1599" s="4">
        <f t="shared" si="96"/>
        <v>9.5318996400607176E+70</v>
      </c>
      <c r="G1599" s="4">
        <f t="shared" si="97"/>
        <v>9.5318996400607176E+70</v>
      </c>
      <c r="H1599" s="4">
        <f>SalaryFTECount*SalaryPerFTE*(1+SalaryGrowth)^1597</f>
        <v>3.3455086328721965E+32</v>
      </c>
      <c r="I1599" s="4">
        <f>SimOpsY1*(1+SimOpsGrowth)^1597</f>
        <v>7.1591055814718504E+57</v>
      </c>
      <c r="J1599" s="4">
        <f>TrainDevY1*(1+TrainDevGrowth)^1597</f>
        <v>3.5795527907359252E+57</v>
      </c>
      <c r="K1599" s="4">
        <f>AdminY1*(1+AdminGrowth)^1597</f>
        <v>5.1819930180245396E+44</v>
      </c>
      <c r="L1599" s="4">
        <f t="shared" si="98"/>
        <v>1.0738658372208294E+58</v>
      </c>
      <c r="M1599" s="4">
        <f t="shared" si="99"/>
        <v>9.5318996400596436E+70</v>
      </c>
    </row>
    <row r="1600" spans="1:13" x14ac:dyDescent="0.2">
      <c r="A1600" s="3">
        <f>StartYear+1598</f>
        <v>3623</v>
      </c>
      <c r="B1600" s="4">
        <f>FacultyFTE*HoursPerWeek*WeeksPerYear*RatePerHour*(1+PracticeGrowth)^1598</f>
        <v>2.0887785621287258E+39</v>
      </c>
      <c r="C1600" s="4">
        <f>StudentsY1*(1+StudentGrowth)^1598*CreditsPerStudent*TuitionPerCredit</f>
        <v>1.3054866013304538E+40</v>
      </c>
      <c r="D1600" s="4">
        <f>SimRevY1*(1+SimGrowth)^1598</f>
        <v>6.9900597360445278E+70</v>
      </c>
      <c r="E1600" s="4">
        <f>FacDevRevY1*(1+FacDevGrowth)^1598</f>
        <v>3.4950298680222639E+70</v>
      </c>
      <c r="F1600" s="4">
        <f t="shared" si="96"/>
        <v>1.0485089604066792E+71</v>
      </c>
      <c r="G1600" s="4">
        <f t="shared" si="97"/>
        <v>1.0485089604066792E+71</v>
      </c>
      <c r="H1600" s="4">
        <f>SalaryFTECount*SalaryPerFTE*(1+SalaryGrowth)^1598</f>
        <v>3.4793289781870828E+32</v>
      </c>
      <c r="I1600" s="4">
        <f>SimOpsY1*(1+SimOpsGrowth)^1598</f>
        <v>7.7318340279896016E+57</v>
      </c>
      <c r="J1600" s="4">
        <f>TrainDevY1*(1+TrainDevGrowth)^1598</f>
        <v>3.8659170139948008E+57</v>
      </c>
      <c r="K1600" s="4">
        <f>AdminY1*(1+AdminGrowth)^1598</f>
        <v>5.492912599106012E+44</v>
      </c>
      <c r="L1600" s="4">
        <f t="shared" si="98"/>
        <v>1.1597751041984951E+58</v>
      </c>
      <c r="M1600" s="4">
        <f t="shared" si="99"/>
        <v>1.0485089604065632E+71</v>
      </c>
    </row>
    <row r="1601" spans="1:13" x14ac:dyDescent="0.2">
      <c r="A1601" s="3">
        <f>StartYear+1599</f>
        <v>3624</v>
      </c>
      <c r="B1601" s="4">
        <f>FacultyFTE*HoursPerWeek*WeeksPerYear*RatePerHour*(1+PracticeGrowth)^1599</f>
        <v>2.1932174902351632E+39</v>
      </c>
      <c r="C1601" s="4">
        <f>StudentsY1*(1+StudentGrowth)^1599*CreditsPerStudent*TuitionPerCredit</f>
        <v>1.3707609313969768E+40</v>
      </c>
      <c r="D1601" s="4">
        <f>SimRevY1*(1+SimGrowth)^1599</f>
        <v>7.6890657096489802E+70</v>
      </c>
      <c r="E1601" s="4">
        <f>FacDevRevY1*(1+FacDevGrowth)^1599</f>
        <v>3.8445328548244901E+70</v>
      </c>
      <c r="F1601" s="4">
        <f t="shared" si="96"/>
        <v>1.1533598564473469E+71</v>
      </c>
      <c r="G1601" s="4">
        <f t="shared" si="97"/>
        <v>1.1533598564473469E+71</v>
      </c>
      <c r="H1601" s="4">
        <f>SalaryFTECount*SalaryPerFTE*(1+SalaryGrowth)^1599</f>
        <v>3.6185021373145662E+32</v>
      </c>
      <c r="I1601" s="4">
        <f>SimOpsY1*(1+SimOpsGrowth)^1599</f>
        <v>8.3503807502287718E+57</v>
      </c>
      <c r="J1601" s="4">
        <f>TrainDevY1*(1+TrainDevGrowth)^1599</f>
        <v>4.1751903751143859E+57</v>
      </c>
      <c r="K1601" s="4">
        <f>AdminY1*(1+AdminGrowth)^1599</f>
        <v>5.8224873550523741E+44</v>
      </c>
      <c r="L1601" s="4">
        <f t="shared" si="98"/>
        <v>1.252557112534374E+58</v>
      </c>
      <c r="M1601" s="4">
        <f t="shared" si="99"/>
        <v>1.1533598564472216E+71</v>
      </c>
    </row>
    <row r="1602" spans="1:13" x14ac:dyDescent="0.2">
      <c r="A1602" s="3">
        <f>StartYear+1600</f>
        <v>3625</v>
      </c>
      <c r="B1602" s="4">
        <f>FacultyFTE*HoursPerWeek*WeeksPerYear*RatePerHour*(1+PracticeGrowth)^1600</f>
        <v>2.3028783647469206E+39</v>
      </c>
      <c r="C1602" s="4">
        <f>StudentsY1*(1+StudentGrowth)^1600*CreditsPerStudent*TuitionPerCredit</f>
        <v>1.4392989779668255E+40</v>
      </c>
      <c r="D1602" s="4">
        <f>SimRevY1*(1+SimGrowth)^1600</f>
        <v>8.4579722806138767E+70</v>
      </c>
      <c r="E1602" s="4">
        <f>FacDevRevY1*(1+FacDevGrowth)^1600</f>
        <v>4.2289861403069384E+70</v>
      </c>
      <c r="F1602" s="4">
        <f t="shared" ref="F1602:F1665" si="100">C1602+D1602+E1602</f>
        <v>1.2686958420920814E+71</v>
      </c>
      <c r="G1602" s="4">
        <f t="shared" ref="G1602:G1665" si="101">B1602+F1602</f>
        <v>1.2686958420920814E+71</v>
      </c>
      <c r="H1602" s="4">
        <f>SalaryFTECount*SalaryPerFTE*(1+SalaryGrowth)^1600</f>
        <v>3.7632422228071499E+32</v>
      </c>
      <c r="I1602" s="4">
        <f>SimOpsY1*(1+SimOpsGrowth)^1600</f>
        <v>9.0184112102470724E+57</v>
      </c>
      <c r="J1602" s="4">
        <f>TrainDevY1*(1+TrainDevGrowth)^1600</f>
        <v>4.5092056051235362E+57</v>
      </c>
      <c r="K1602" s="4">
        <f>AdminY1*(1+AdminGrowth)^1600</f>
        <v>6.171836596355515E+44</v>
      </c>
      <c r="L1602" s="4">
        <f t="shared" ref="L1602:L1665" si="102">SUM(H1602:K1602)</f>
        <v>1.3527616815371225E+58</v>
      </c>
      <c r="M1602" s="4">
        <f t="shared" ref="M1602:M1665" si="103">G1602-L1602</f>
        <v>1.2686958420919461E+71</v>
      </c>
    </row>
    <row r="1603" spans="1:13" x14ac:dyDescent="0.2">
      <c r="A1603" s="3">
        <f>StartYear+1601</f>
        <v>3626</v>
      </c>
      <c r="B1603" s="4">
        <f>FacultyFTE*HoursPerWeek*WeeksPerYear*RatePerHour*(1+PracticeGrowth)^1601</f>
        <v>2.4180222829842671E+39</v>
      </c>
      <c r="C1603" s="4">
        <f>StudentsY1*(1+StudentGrowth)^1601*CreditsPerStudent*TuitionPerCredit</f>
        <v>1.5112639268651669E+40</v>
      </c>
      <c r="D1603" s="4">
        <f>SimRevY1*(1+SimGrowth)^1601</f>
        <v>9.303769508675265E+70</v>
      </c>
      <c r="E1603" s="4">
        <f>FacDevRevY1*(1+FacDevGrowth)^1601</f>
        <v>4.6518847543376325E+70</v>
      </c>
      <c r="F1603" s="4">
        <f t="shared" si="100"/>
        <v>1.3955654263012898E+71</v>
      </c>
      <c r="G1603" s="4">
        <f t="shared" si="101"/>
        <v>1.3955654263012898E+71</v>
      </c>
      <c r="H1603" s="4">
        <f>SalaryFTECount*SalaryPerFTE*(1+SalaryGrowth)^1601</f>
        <v>3.9137719117194362E+32</v>
      </c>
      <c r="I1603" s="4">
        <f>SimOpsY1*(1+SimOpsGrowth)^1601</f>
        <v>9.7398841070668372E+57</v>
      </c>
      <c r="J1603" s="4">
        <f>TrainDevY1*(1+TrainDevGrowth)^1601</f>
        <v>4.8699420535334186E+57</v>
      </c>
      <c r="K1603" s="4">
        <f>AdminY1*(1+AdminGrowth)^1601</f>
        <v>6.5421467921368457E+44</v>
      </c>
      <c r="L1603" s="4">
        <f t="shared" si="102"/>
        <v>1.460982616060091E+58</v>
      </c>
      <c r="M1603" s="4">
        <f t="shared" si="103"/>
        <v>1.3955654263011437E+71</v>
      </c>
    </row>
    <row r="1604" spans="1:13" x14ac:dyDescent="0.2">
      <c r="A1604" s="3">
        <f>StartYear+1602</f>
        <v>3627</v>
      </c>
      <c r="B1604" s="4">
        <f>FacultyFTE*HoursPerWeek*WeeksPerYear*RatePerHour*(1+PracticeGrowth)^1602</f>
        <v>2.5389233971334801E+39</v>
      </c>
      <c r="C1604" s="4">
        <f>StudentsY1*(1+StudentGrowth)^1602*CreditsPerStudent*TuitionPerCredit</f>
        <v>1.5868271232084249E+40</v>
      </c>
      <c r="D1604" s="4">
        <f>SimRevY1*(1+SimGrowth)^1602</f>
        <v>1.0234146459542795E+71</v>
      </c>
      <c r="E1604" s="4">
        <f>FacDevRevY1*(1+FacDevGrowth)^1602</f>
        <v>5.1170732297713974E+70</v>
      </c>
      <c r="F1604" s="4">
        <f t="shared" si="100"/>
        <v>1.5351219689314192E+71</v>
      </c>
      <c r="G1604" s="4">
        <f t="shared" si="101"/>
        <v>1.5351219689314192E+71</v>
      </c>
      <c r="H1604" s="4">
        <f>SalaryFTECount*SalaryPerFTE*(1+SalaryGrowth)^1602</f>
        <v>4.0703227881882132E+32</v>
      </c>
      <c r="I1604" s="4">
        <f>SimOpsY1*(1+SimOpsGrowth)^1602</f>
        <v>1.0519074835632187E+58</v>
      </c>
      <c r="J1604" s="4">
        <f>TrainDevY1*(1+TrainDevGrowth)^1602</f>
        <v>5.2595374178160934E+57</v>
      </c>
      <c r="K1604" s="4">
        <f>AdminY1*(1+AdminGrowth)^1602</f>
        <v>6.9346755996650565E+44</v>
      </c>
      <c r="L1604" s="4">
        <f t="shared" si="102"/>
        <v>1.5778612253448974E+58</v>
      </c>
      <c r="M1604" s="4">
        <f t="shared" si="103"/>
        <v>1.5351219689312613E+71</v>
      </c>
    </row>
    <row r="1605" spans="1:13" x14ac:dyDescent="0.2">
      <c r="A1605" s="3">
        <f>StartYear+1603</f>
        <v>3628</v>
      </c>
      <c r="B1605" s="4">
        <f>FacultyFTE*HoursPerWeek*WeeksPerYear*RatePerHour*(1+PracticeGrowth)^1603</f>
        <v>2.6658695669901543E+39</v>
      </c>
      <c r="C1605" s="4">
        <f>StudentsY1*(1+StudentGrowth)^1603*CreditsPerStudent*TuitionPerCredit</f>
        <v>1.6661684793688464E+40</v>
      </c>
      <c r="D1605" s="4">
        <f>SimRevY1*(1+SimGrowth)^1603</f>
        <v>1.1257561105497076E+71</v>
      </c>
      <c r="E1605" s="4">
        <f>FacDevRevY1*(1+FacDevGrowth)^1603</f>
        <v>5.6287805527485381E+70</v>
      </c>
      <c r="F1605" s="4">
        <f t="shared" si="100"/>
        <v>1.6886341658245613E+71</v>
      </c>
      <c r="G1605" s="4">
        <f t="shared" si="101"/>
        <v>1.6886341658245613E+71</v>
      </c>
      <c r="H1605" s="4">
        <f>SalaryFTECount*SalaryPerFTE*(1+SalaryGrowth)^1603</f>
        <v>4.2331356997157417E+32</v>
      </c>
      <c r="I1605" s="4">
        <f>SimOpsY1*(1+SimOpsGrowth)^1603</f>
        <v>1.1360600822482762E+58</v>
      </c>
      <c r="J1605" s="4">
        <f>TrainDevY1*(1+TrainDevGrowth)^1603</f>
        <v>5.6803004112413808E+57</v>
      </c>
      <c r="K1605" s="4">
        <f>AdminY1*(1+AdminGrowth)^1603</f>
        <v>7.3507561356449619E+44</v>
      </c>
      <c r="L1605" s="4">
        <f t="shared" si="102"/>
        <v>1.704090123372488E+58</v>
      </c>
      <c r="M1605" s="4">
        <f t="shared" si="103"/>
        <v>1.6886341658243909E+71</v>
      </c>
    </row>
    <row r="1606" spans="1:13" x14ac:dyDescent="0.2">
      <c r="A1606" s="3">
        <f>StartYear+1604</f>
        <v>3629</v>
      </c>
      <c r="B1606" s="4">
        <f>FacultyFTE*HoursPerWeek*WeeksPerYear*RatePerHour*(1+PracticeGrowth)^1604</f>
        <v>2.799163045339662E+39</v>
      </c>
      <c r="C1606" s="4">
        <f>StudentsY1*(1+StudentGrowth)^1604*CreditsPerStudent*TuitionPerCredit</f>
        <v>1.7494769033372886E+40</v>
      </c>
      <c r="D1606" s="4">
        <f>SimRevY1*(1+SimGrowth)^1604</f>
        <v>1.2383317216046783E+71</v>
      </c>
      <c r="E1606" s="4">
        <f>FacDevRevY1*(1+FacDevGrowth)^1604</f>
        <v>6.1916586080233913E+70</v>
      </c>
      <c r="F1606" s="4">
        <f t="shared" si="100"/>
        <v>1.8574975824070174E+71</v>
      </c>
      <c r="G1606" s="4">
        <f t="shared" si="101"/>
        <v>1.8574975824070174E+71</v>
      </c>
      <c r="H1606" s="4">
        <f>SalaryFTECount*SalaryPerFTE*(1+SalaryGrowth)^1604</f>
        <v>4.4024611277043722E+32</v>
      </c>
      <c r="I1606" s="4">
        <f>SimOpsY1*(1+SimOpsGrowth)^1604</f>
        <v>1.2269448888281385E+58</v>
      </c>
      <c r="J1606" s="4">
        <f>TrainDevY1*(1+TrainDevGrowth)^1604</f>
        <v>6.1347244441406926E+57</v>
      </c>
      <c r="K1606" s="4">
        <f>AdminY1*(1+AdminGrowth)^1604</f>
        <v>7.7918015037836612E+44</v>
      </c>
      <c r="L1606" s="4">
        <f t="shared" si="102"/>
        <v>1.8404173332422858E+58</v>
      </c>
      <c r="M1606" s="4">
        <f t="shared" si="103"/>
        <v>1.8574975824068332E+71</v>
      </c>
    </row>
    <row r="1607" spans="1:13" x14ac:dyDescent="0.2">
      <c r="A1607" s="3">
        <f>StartYear+1605</f>
        <v>3630</v>
      </c>
      <c r="B1607" s="4">
        <f>FacultyFTE*HoursPerWeek*WeeksPerYear*RatePerHour*(1+PracticeGrowth)^1605</f>
        <v>2.9391211976066451E+39</v>
      </c>
      <c r="C1607" s="4">
        <f>StudentsY1*(1+StudentGrowth)^1605*CreditsPerStudent*TuitionPerCredit</f>
        <v>1.8369507485041533E+40</v>
      </c>
      <c r="D1607" s="4">
        <f>SimRevY1*(1+SimGrowth)^1605</f>
        <v>1.3621648937651463E+71</v>
      </c>
      <c r="E1607" s="4">
        <f>FacDevRevY1*(1+FacDevGrowth)^1605</f>
        <v>6.8108244688257316E+70</v>
      </c>
      <c r="F1607" s="4">
        <f t="shared" si="100"/>
        <v>2.0432473406477195E+71</v>
      </c>
      <c r="G1607" s="4">
        <f t="shared" si="101"/>
        <v>2.0432473406477195E+71</v>
      </c>
      <c r="H1607" s="4">
        <f>SalaryFTECount*SalaryPerFTE*(1+SalaryGrowth)^1605</f>
        <v>4.5785595728125476E+32</v>
      </c>
      <c r="I1607" s="4">
        <f>SimOpsY1*(1+SimOpsGrowth)^1605</f>
        <v>1.3251004799343894E+58</v>
      </c>
      <c r="J1607" s="4">
        <f>TrainDevY1*(1+TrainDevGrowth)^1605</f>
        <v>6.6255023996719468E+57</v>
      </c>
      <c r="K1607" s="4">
        <f>AdminY1*(1+AdminGrowth)^1605</f>
        <v>8.25930959401068E+44</v>
      </c>
      <c r="L1607" s="4">
        <f t="shared" si="102"/>
        <v>1.9876507199016667E+58</v>
      </c>
      <c r="M1607" s="4">
        <f t="shared" si="103"/>
        <v>2.0432473406475206E+71</v>
      </c>
    </row>
    <row r="1608" spans="1:13" x14ac:dyDescent="0.2">
      <c r="A1608" s="3">
        <f>StartYear+1606</f>
        <v>3631</v>
      </c>
      <c r="B1608" s="4">
        <f>FacultyFTE*HoursPerWeek*WeeksPerYear*RatePerHour*(1+PracticeGrowth)^1606</f>
        <v>3.0860772574869772E+39</v>
      </c>
      <c r="C1608" s="4">
        <f>StudentsY1*(1+StudentGrowth)^1606*CreditsPerStudent*TuitionPerCredit</f>
        <v>1.9287982859293607E+40</v>
      </c>
      <c r="D1608" s="4">
        <f>SimRevY1*(1+SimGrowth)^1606</f>
        <v>1.498381383141661E+71</v>
      </c>
      <c r="E1608" s="4">
        <f>FacDevRevY1*(1+FacDevGrowth)^1606</f>
        <v>7.491906915708305E+70</v>
      </c>
      <c r="F1608" s="4">
        <f t="shared" si="100"/>
        <v>2.2475720747124915E+71</v>
      </c>
      <c r="G1608" s="4">
        <f t="shared" si="101"/>
        <v>2.2475720747124915E+71</v>
      </c>
      <c r="H1608" s="4">
        <f>SalaryFTECount*SalaryPerFTE*(1+SalaryGrowth)^1606</f>
        <v>4.7617019557250498E+32</v>
      </c>
      <c r="I1608" s="4">
        <f>SimOpsY1*(1+SimOpsGrowth)^1606</f>
        <v>1.4311085183291409E+58</v>
      </c>
      <c r="J1608" s="4">
        <f>TrainDevY1*(1+TrainDevGrowth)^1606</f>
        <v>7.1555425916457045E+57</v>
      </c>
      <c r="K1608" s="4">
        <f>AdminY1*(1+AdminGrowth)^1606</f>
        <v>8.7548681696513209E+44</v>
      </c>
      <c r="L1608" s="4">
        <f t="shared" si="102"/>
        <v>2.146662777493799E+58</v>
      </c>
      <c r="M1608" s="4">
        <f t="shared" si="103"/>
        <v>2.2475720747122767E+71</v>
      </c>
    </row>
    <row r="1609" spans="1:13" x14ac:dyDescent="0.2">
      <c r="A1609" s="3">
        <f>StartYear+1607</f>
        <v>3632</v>
      </c>
      <c r="B1609" s="4">
        <f>FacultyFTE*HoursPerWeek*WeeksPerYear*RatePerHour*(1+PracticeGrowth)^1607</f>
        <v>3.2403811203613263E+39</v>
      </c>
      <c r="C1609" s="4">
        <f>StudentsY1*(1+StudentGrowth)^1607*CreditsPerStudent*TuitionPerCredit</f>
        <v>2.0252382002258288E+40</v>
      </c>
      <c r="D1609" s="4">
        <f>SimRevY1*(1+SimGrowth)^1607</f>
        <v>1.6482195214558272E+71</v>
      </c>
      <c r="E1609" s="4">
        <f>FacDevRevY1*(1+FacDevGrowth)^1607</f>
        <v>8.241097607279136E+70</v>
      </c>
      <c r="F1609" s="4">
        <f t="shared" si="100"/>
        <v>2.4723292821837408E+71</v>
      </c>
      <c r="G1609" s="4">
        <f t="shared" si="101"/>
        <v>2.4723292821837408E+71</v>
      </c>
      <c r="H1609" s="4">
        <f>SalaryFTECount*SalaryPerFTE*(1+SalaryGrowth)^1607</f>
        <v>4.9521700339540508E+32</v>
      </c>
      <c r="I1609" s="4">
        <f>SimOpsY1*(1+SimOpsGrowth)^1607</f>
        <v>1.545597199795472E+58</v>
      </c>
      <c r="J1609" s="4">
        <f>TrainDevY1*(1+TrainDevGrowth)^1607</f>
        <v>7.7279859989773601E+57</v>
      </c>
      <c r="K1609" s="4">
        <f>AdminY1*(1+AdminGrowth)^1607</f>
        <v>9.2801602598304023E+44</v>
      </c>
      <c r="L1609" s="4">
        <f t="shared" si="102"/>
        <v>2.3183957996933007E+58</v>
      </c>
      <c r="M1609" s="4">
        <f t="shared" si="103"/>
        <v>2.4723292821835088E+71</v>
      </c>
    </row>
    <row r="1610" spans="1:13" x14ac:dyDescent="0.2">
      <c r="A1610" s="3">
        <f>StartYear+1608</f>
        <v>3633</v>
      </c>
      <c r="B1610" s="4">
        <f>FacultyFTE*HoursPerWeek*WeeksPerYear*RatePerHour*(1+PracticeGrowth)^1608</f>
        <v>3.4024001763793928E+39</v>
      </c>
      <c r="C1610" s="4">
        <f>StudentsY1*(1+StudentGrowth)^1608*CreditsPerStudent*TuitionPerCredit</f>
        <v>2.1265001102371202E+40</v>
      </c>
      <c r="D1610" s="4">
        <f>SimRevY1*(1+SimGrowth)^1608</f>
        <v>1.8130414736014101E+71</v>
      </c>
      <c r="E1610" s="4">
        <f>FacDevRevY1*(1+FacDevGrowth)^1608</f>
        <v>9.0652073680070506E+70</v>
      </c>
      <c r="F1610" s="4">
        <f t="shared" si="100"/>
        <v>2.7195622104021149E+71</v>
      </c>
      <c r="G1610" s="4">
        <f t="shared" si="101"/>
        <v>2.7195622104021149E+71</v>
      </c>
      <c r="H1610" s="4">
        <f>SalaryFTECount*SalaryPerFTE*(1+SalaryGrowth)^1608</f>
        <v>5.1502568353122139E+32</v>
      </c>
      <c r="I1610" s="4">
        <f>SimOpsY1*(1+SimOpsGrowth)^1608</f>
        <v>1.6692449757791099E+58</v>
      </c>
      <c r="J1610" s="4">
        <f>TrainDevY1*(1+TrainDevGrowth)^1608</f>
        <v>8.3462248788955496E+57</v>
      </c>
      <c r="K1610" s="4">
        <f>AdminY1*(1+AdminGrowth)^1608</f>
        <v>9.8369698754202251E+44</v>
      </c>
      <c r="L1610" s="4">
        <f t="shared" si="102"/>
        <v>2.5038674636687634E+58</v>
      </c>
      <c r="M1610" s="4">
        <f t="shared" si="103"/>
        <v>2.7195622104018643E+71</v>
      </c>
    </row>
    <row r="1611" spans="1:13" x14ac:dyDescent="0.2">
      <c r="A1611" s="3">
        <f>StartYear+1609</f>
        <v>3634</v>
      </c>
      <c r="B1611" s="4">
        <f>FacultyFTE*HoursPerWeek*WeeksPerYear*RatePerHour*(1+PracticeGrowth)^1609</f>
        <v>3.5725201851983621E+39</v>
      </c>
      <c r="C1611" s="4">
        <f>StudentsY1*(1+StudentGrowth)^1609*CreditsPerStudent*TuitionPerCredit</f>
        <v>2.2328251157489764E+40</v>
      </c>
      <c r="D1611" s="4">
        <f>SimRevY1*(1+SimGrowth)^1609</f>
        <v>1.994345620961551E+71</v>
      </c>
      <c r="E1611" s="4">
        <f>FacDevRevY1*(1+FacDevGrowth)^1609</f>
        <v>9.9717281048077552E+70</v>
      </c>
      <c r="F1611" s="4">
        <f t="shared" si="100"/>
        <v>2.9915184314423264E+71</v>
      </c>
      <c r="G1611" s="4">
        <f t="shared" si="101"/>
        <v>2.9915184314423264E+71</v>
      </c>
      <c r="H1611" s="4">
        <f>SalaryFTECount*SalaryPerFTE*(1+SalaryGrowth)^1609</f>
        <v>5.356267108724702E+32</v>
      </c>
      <c r="I1611" s="4">
        <f>SimOpsY1*(1+SimOpsGrowth)^1609</f>
        <v>1.8027845738414392E+58</v>
      </c>
      <c r="J1611" s="4">
        <f>TrainDevY1*(1+TrainDevGrowth)^1609</f>
        <v>9.0139228692071959E+57</v>
      </c>
      <c r="K1611" s="4">
        <f>AdminY1*(1+AdminGrowth)^1609</f>
        <v>1.0427188067945438E+45</v>
      </c>
      <c r="L1611" s="4">
        <f t="shared" si="102"/>
        <v>2.7041768607622632E+58</v>
      </c>
      <c r="M1611" s="4">
        <f t="shared" si="103"/>
        <v>2.9915184314420562E+71</v>
      </c>
    </row>
    <row r="1612" spans="1:13" x14ac:dyDescent="0.2">
      <c r="A1612" s="3">
        <f>StartYear+1610</f>
        <v>3635</v>
      </c>
      <c r="B1612" s="4">
        <f>FacultyFTE*HoursPerWeek*WeeksPerYear*RatePerHour*(1+PracticeGrowth)^1610</f>
        <v>3.7511461944582803E+39</v>
      </c>
      <c r="C1612" s="4">
        <f>StudentsY1*(1+StudentGrowth)^1610*CreditsPerStudent*TuitionPerCredit</f>
        <v>2.3444663715364252E+40</v>
      </c>
      <c r="D1612" s="4">
        <f>SimRevY1*(1+SimGrowth)^1610</f>
        <v>2.1937801830577063E+71</v>
      </c>
      <c r="E1612" s="4">
        <f>FacDevRevY1*(1+FacDevGrowth)^1610</f>
        <v>1.0968900915288532E+71</v>
      </c>
      <c r="F1612" s="4">
        <f t="shared" si="100"/>
        <v>3.2906702745865592E+71</v>
      </c>
      <c r="G1612" s="4">
        <f t="shared" si="101"/>
        <v>3.2906702745865592E+71</v>
      </c>
      <c r="H1612" s="4">
        <f>SalaryFTECount*SalaryPerFTE*(1+SalaryGrowth)^1610</f>
        <v>5.5705177930736907E+32</v>
      </c>
      <c r="I1612" s="4">
        <f>SimOpsY1*(1+SimOpsGrowth)^1610</f>
        <v>1.9470073397487542E+58</v>
      </c>
      <c r="J1612" s="4">
        <f>TrainDevY1*(1+TrainDevGrowth)^1610</f>
        <v>9.7350366987437708E+57</v>
      </c>
      <c r="K1612" s="4">
        <f>AdminY1*(1+AdminGrowth)^1610</f>
        <v>1.1052819352022165E+45</v>
      </c>
      <c r="L1612" s="4">
        <f t="shared" si="102"/>
        <v>2.9205110096232416E+58</v>
      </c>
      <c r="M1612" s="4">
        <f t="shared" si="103"/>
        <v>3.2906702745862669E+71</v>
      </c>
    </row>
    <row r="1613" spans="1:13" x14ac:dyDescent="0.2">
      <c r="A1613" s="3">
        <f>StartYear+1611</f>
        <v>3636</v>
      </c>
      <c r="B1613" s="4">
        <f>FacultyFTE*HoursPerWeek*WeeksPerYear*RatePerHour*(1+PracticeGrowth)^1611</f>
        <v>3.938703504181195E+39</v>
      </c>
      <c r="C1613" s="4">
        <f>StudentsY1*(1+StudentGrowth)^1611*CreditsPerStudent*TuitionPerCredit</f>
        <v>2.4616896901132468E+40</v>
      </c>
      <c r="D1613" s="4">
        <f>SimRevY1*(1+SimGrowth)^1611</f>
        <v>2.4131582013634772E+71</v>
      </c>
      <c r="E1613" s="4">
        <f>FacDevRevY1*(1+FacDevGrowth)^1611</f>
        <v>1.2065791006817386E+71</v>
      </c>
      <c r="F1613" s="4">
        <f t="shared" si="100"/>
        <v>3.6197373020452155E+71</v>
      </c>
      <c r="G1613" s="4">
        <f t="shared" si="101"/>
        <v>3.6197373020452155E+71</v>
      </c>
      <c r="H1613" s="4">
        <f>SalaryFTECount*SalaryPerFTE*(1+SalaryGrowth)^1611</f>
        <v>5.7933385047966382E+32</v>
      </c>
      <c r="I1613" s="4">
        <f>SimOpsY1*(1+SimOpsGrowth)^1611</f>
        <v>2.1027679269286545E+58</v>
      </c>
      <c r="J1613" s="4">
        <f>TrainDevY1*(1+TrainDevGrowth)^1611</f>
        <v>1.0513839634643273E+58</v>
      </c>
      <c r="K1613" s="4">
        <f>AdminY1*(1+AdminGrowth)^1611</f>
        <v>1.1715988513143497E+45</v>
      </c>
      <c r="L1613" s="4">
        <f t="shared" si="102"/>
        <v>3.1541518903930987E+58</v>
      </c>
      <c r="M1613" s="4">
        <f t="shared" si="103"/>
        <v>3.6197373020449002E+71</v>
      </c>
    </row>
    <row r="1614" spans="1:13" x14ac:dyDescent="0.2">
      <c r="A1614" s="3">
        <f>StartYear+1612</f>
        <v>3637</v>
      </c>
      <c r="B1614" s="4">
        <f>FacultyFTE*HoursPerWeek*WeeksPerYear*RatePerHour*(1+PracticeGrowth)^1612</f>
        <v>4.1356386793902543E+39</v>
      </c>
      <c r="C1614" s="4">
        <f>StudentsY1*(1+StudentGrowth)^1612*CreditsPerStudent*TuitionPerCredit</f>
        <v>2.5847741746189089E+40</v>
      </c>
      <c r="D1614" s="4">
        <f>SimRevY1*(1+SimGrowth)^1612</f>
        <v>2.6544740214998249E+71</v>
      </c>
      <c r="E1614" s="4">
        <f>FacDevRevY1*(1+FacDevGrowth)^1612</f>
        <v>1.3272370107499125E+71</v>
      </c>
      <c r="F1614" s="4">
        <f t="shared" si="100"/>
        <v>3.9817110322497372E+71</v>
      </c>
      <c r="G1614" s="4">
        <f t="shared" si="101"/>
        <v>3.9817110322497372E+71</v>
      </c>
      <c r="H1614" s="4">
        <f>SalaryFTECount*SalaryPerFTE*(1+SalaryGrowth)^1612</f>
        <v>6.0250720449885042E+32</v>
      </c>
      <c r="I1614" s="4">
        <f>SimOpsY1*(1+SimOpsGrowth)^1612</f>
        <v>2.2709893610829468E+58</v>
      </c>
      <c r="J1614" s="4">
        <f>TrainDevY1*(1+TrainDevGrowth)^1612</f>
        <v>1.1354946805414734E+58</v>
      </c>
      <c r="K1614" s="4">
        <f>AdminY1*(1+AdminGrowth)^1612</f>
        <v>1.2418947823932106E+45</v>
      </c>
      <c r="L1614" s="4">
        <f t="shared" si="102"/>
        <v>3.4064840416245444E+58</v>
      </c>
      <c r="M1614" s="4">
        <f t="shared" si="103"/>
        <v>3.9817110322493964E+71</v>
      </c>
    </row>
    <row r="1615" spans="1:13" x14ac:dyDescent="0.2">
      <c r="A1615" s="3">
        <f>StartYear+1613</f>
        <v>3638</v>
      </c>
      <c r="B1615" s="4">
        <f>FacultyFTE*HoursPerWeek*WeeksPerYear*RatePerHour*(1+PracticeGrowth)^1613</f>
        <v>4.3424206133597679E+39</v>
      </c>
      <c r="C1615" s="4">
        <f>StudentsY1*(1+StudentGrowth)^1613*CreditsPerStudent*TuitionPerCredit</f>
        <v>2.7140128833498551E+40</v>
      </c>
      <c r="D1615" s="4">
        <f>SimRevY1*(1+SimGrowth)^1613</f>
        <v>2.9199214236498079E+71</v>
      </c>
      <c r="E1615" s="4">
        <f>FacDevRevY1*(1+FacDevGrowth)^1613</f>
        <v>1.4599607118249039E+71</v>
      </c>
      <c r="F1615" s="4">
        <f t="shared" si="100"/>
        <v>4.3798821354747121E+71</v>
      </c>
      <c r="G1615" s="4">
        <f t="shared" si="101"/>
        <v>4.3798821354747121E+71</v>
      </c>
      <c r="H1615" s="4">
        <f>SalaryFTECount*SalaryPerFTE*(1+SalaryGrowth)^1613</f>
        <v>6.2660749267880446E+32</v>
      </c>
      <c r="I1615" s="4">
        <f>SimOpsY1*(1+SimOpsGrowth)^1613</f>
        <v>2.452668509969582E+58</v>
      </c>
      <c r="J1615" s="4">
        <f>TrainDevY1*(1+TrainDevGrowth)^1613</f>
        <v>1.226334254984791E+58</v>
      </c>
      <c r="K1615" s="4">
        <f>AdminY1*(1+AdminGrowth)^1613</f>
        <v>1.3164084693368035E+45</v>
      </c>
      <c r="L1615" s="4">
        <f t="shared" si="102"/>
        <v>3.6790027649545045E+58</v>
      </c>
      <c r="M1615" s="4">
        <f t="shared" si="103"/>
        <v>4.3798821354743443E+71</v>
      </c>
    </row>
    <row r="1616" spans="1:13" x14ac:dyDescent="0.2">
      <c r="A1616" s="3">
        <f>StartYear+1614</f>
        <v>3639</v>
      </c>
      <c r="B1616" s="4">
        <f>FacultyFTE*HoursPerWeek*WeeksPerYear*RatePerHour*(1+PracticeGrowth)^1614</f>
        <v>4.5595416440277541E+39</v>
      </c>
      <c r="C1616" s="4">
        <f>StudentsY1*(1+StudentGrowth)^1614*CreditsPerStudent*TuitionPerCredit</f>
        <v>2.8497135275173465E+40</v>
      </c>
      <c r="D1616" s="4">
        <f>SimRevY1*(1+SimGrowth)^1614</f>
        <v>3.2119135660147889E+71</v>
      </c>
      <c r="E1616" s="4">
        <f>FacDevRevY1*(1+FacDevGrowth)^1614</f>
        <v>1.6059567830073945E+71</v>
      </c>
      <c r="F1616" s="4">
        <f t="shared" si="100"/>
        <v>4.8178703490221834E+71</v>
      </c>
      <c r="G1616" s="4">
        <f t="shared" si="101"/>
        <v>4.8178703490221834E+71</v>
      </c>
      <c r="H1616" s="4">
        <f>SalaryFTECount*SalaryPerFTE*(1+SalaryGrowth)^1614</f>
        <v>6.5167179238595671E+32</v>
      </c>
      <c r="I1616" s="4">
        <f>SimOpsY1*(1+SimOpsGrowth)^1614</f>
        <v>2.6488819907671497E+58</v>
      </c>
      <c r="J1616" s="4">
        <f>TrainDevY1*(1+TrainDevGrowth)^1614</f>
        <v>1.3244409953835748E+58</v>
      </c>
      <c r="K1616" s="4">
        <f>AdminY1*(1+AdminGrowth)^1614</f>
        <v>1.3953929774970116E+45</v>
      </c>
      <c r="L1616" s="4">
        <f t="shared" si="102"/>
        <v>3.9733229861508636E+58</v>
      </c>
      <c r="M1616" s="4">
        <f t="shared" si="103"/>
        <v>4.8178703490217862E+71</v>
      </c>
    </row>
    <row r="1617" spans="1:13" x14ac:dyDescent="0.2">
      <c r="A1617" s="3">
        <f>StartYear+1615</f>
        <v>3640</v>
      </c>
      <c r="B1617" s="4">
        <f>FacultyFTE*HoursPerWeek*WeeksPerYear*RatePerHour*(1+PracticeGrowth)^1615</f>
        <v>4.7875187262291444E+39</v>
      </c>
      <c r="C1617" s="4">
        <f>StudentsY1*(1+StudentGrowth)^1615*CreditsPerStudent*TuitionPerCredit</f>
        <v>2.9921992038932153E+40</v>
      </c>
      <c r="D1617" s="4">
        <f>SimRevY1*(1+SimGrowth)^1615</f>
        <v>3.5331049226162678E+71</v>
      </c>
      <c r="E1617" s="4">
        <f>FacDevRevY1*(1+FacDevGrowth)^1615</f>
        <v>1.7665524613081339E+71</v>
      </c>
      <c r="F1617" s="4">
        <f t="shared" si="100"/>
        <v>5.2996573839244017E+71</v>
      </c>
      <c r="G1617" s="4">
        <f t="shared" si="101"/>
        <v>5.2996573839244017E+71</v>
      </c>
      <c r="H1617" s="4">
        <f>SalaryFTECount*SalaryPerFTE*(1+SalaryGrowth)^1615</f>
        <v>6.7773866408139491E+32</v>
      </c>
      <c r="I1617" s="4">
        <f>SimOpsY1*(1+SimOpsGrowth)^1615</f>
        <v>2.860792550028522E+58</v>
      </c>
      <c r="J1617" s="4">
        <f>TrainDevY1*(1+TrainDevGrowth)^1615</f>
        <v>1.430396275014261E+58</v>
      </c>
      <c r="K1617" s="4">
        <f>AdminY1*(1+AdminGrowth)^1615</f>
        <v>1.4791165561468327E+45</v>
      </c>
      <c r="L1617" s="4">
        <f t="shared" si="102"/>
        <v>4.2911888250429308E+58</v>
      </c>
      <c r="M1617" s="4">
        <f t="shared" si="103"/>
        <v>5.2996573839239721E+71</v>
      </c>
    </row>
    <row r="1618" spans="1:13" x14ac:dyDescent="0.2">
      <c r="A1618" s="3">
        <f>StartYear+1616</f>
        <v>3641</v>
      </c>
      <c r="B1618" s="4">
        <f>FacultyFTE*HoursPerWeek*WeeksPerYear*RatePerHour*(1+PracticeGrowth)^1616</f>
        <v>5.0268946625406008E+39</v>
      </c>
      <c r="C1618" s="4">
        <f>StudentsY1*(1+StudentGrowth)^1616*CreditsPerStudent*TuitionPerCredit</f>
        <v>3.1418091640878751E+40</v>
      </c>
      <c r="D1618" s="4">
        <f>SimRevY1*(1+SimGrowth)^1616</f>
        <v>3.8864154148778947E+71</v>
      </c>
      <c r="E1618" s="4">
        <f>FacDevRevY1*(1+FacDevGrowth)^1616</f>
        <v>1.9432077074389473E+71</v>
      </c>
      <c r="F1618" s="4">
        <f t="shared" si="100"/>
        <v>5.8296231223168423E+71</v>
      </c>
      <c r="G1618" s="4">
        <f t="shared" si="101"/>
        <v>5.8296231223168423E+71</v>
      </c>
      <c r="H1618" s="4">
        <f>SalaryFTECount*SalaryPerFTE*(1+SalaryGrowth)^1616</f>
        <v>7.0484821064465088E+32</v>
      </c>
      <c r="I1618" s="4">
        <f>SimOpsY1*(1+SimOpsGrowth)^1616</f>
        <v>3.0896559540308032E+58</v>
      </c>
      <c r="J1618" s="4">
        <f>TrainDevY1*(1+TrainDevGrowth)^1616</f>
        <v>1.5448279770154016E+58</v>
      </c>
      <c r="K1618" s="4">
        <f>AdminY1*(1+AdminGrowth)^1616</f>
        <v>1.5678635495156423E+45</v>
      </c>
      <c r="L1618" s="4">
        <f t="shared" si="102"/>
        <v>4.6344839310463615E+58</v>
      </c>
      <c r="M1618" s="4">
        <f t="shared" si="103"/>
        <v>5.8296231223163784E+71</v>
      </c>
    </row>
    <row r="1619" spans="1:13" x14ac:dyDescent="0.2">
      <c r="A1619" s="3">
        <f>StartYear+1617</f>
        <v>3642</v>
      </c>
      <c r="B1619" s="4">
        <f>FacultyFTE*HoursPerWeek*WeeksPerYear*RatePerHour*(1+PracticeGrowth)^1617</f>
        <v>5.2782393956676315E+39</v>
      </c>
      <c r="C1619" s="4">
        <f>StudentsY1*(1+StudentGrowth)^1617*CreditsPerStudent*TuitionPerCredit</f>
        <v>3.2988996222922696E+40</v>
      </c>
      <c r="D1619" s="4">
        <f>SimRevY1*(1+SimGrowth)^1617</f>
        <v>4.275056956365684E+71</v>
      </c>
      <c r="E1619" s="4">
        <f>FacDevRevY1*(1+FacDevGrowth)^1617</f>
        <v>2.137528478182842E+71</v>
      </c>
      <c r="F1619" s="4">
        <f t="shared" si="100"/>
        <v>6.4125854345485255E+71</v>
      </c>
      <c r="G1619" s="4">
        <f t="shared" si="101"/>
        <v>6.4125854345485255E+71</v>
      </c>
      <c r="H1619" s="4">
        <f>SalaryFTECount*SalaryPerFTE*(1+SalaryGrowth)^1617</f>
        <v>7.3304213907043685E+32</v>
      </c>
      <c r="I1619" s="4">
        <f>SimOpsY1*(1+SimOpsGrowth)^1617</f>
        <v>3.336828430353268E+58</v>
      </c>
      <c r="J1619" s="4">
        <f>TrainDevY1*(1+TrainDevGrowth)^1617</f>
        <v>1.668414215176634E+58</v>
      </c>
      <c r="K1619" s="4">
        <f>AdminY1*(1+AdminGrowth)^1617</f>
        <v>1.6619353624865811E+45</v>
      </c>
      <c r="L1619" s="4">
        <f t="shared" si="102"/>
        <v>5.0052426455300678E+58</v>
      </c>
      <c r="M1619" s="4">
        <f t="shared" si="103"/>
        <v>6.4125854345480253E+71</v>
      </c>
    </row>
    <row r="1620" spans="1:13" x14ac:dyDescent="0.2">
      <c r="A1620" s="3">
        <f>StartYear+1618</f>
        <v>3643</v>
      </c>
      <c r="B1620" s="4">
        <f>FacultyFTE*HoursPerWeek*WeeksPerYear*RatePerHour*(1+PracticeGrowth)^1618</f>
        <v>5.5421513654510134E+39</v>
      </c>
      <c r="C1620" s="4">
        <f>StudentsY1*(1+StudentGrowth)^1618*CreditsPerStudent*TuitionPerCredit</f>
        <v>3.4638446034068831E+40</v>
      </c>
      <c r="D1620" s="4">
        <f>SimRevY1*(1+SimGrowth)^1618</f>
        <v>4.7025626520022531E+71</v>
      </c>
      <c r="E1620" s="4">
        <f>FacDevRevY1*(1+FacDevGrowth)^1618</f>
        <v>2.3512813260011266E+71</v>
      </c>
      <c r="F1620" s="4">
        <f t="shared" si="100"/>
        <v>7.0538439780033797E+71</v>
      </c>
      <c r="G1620" s="4">
        <f t="shared" si="101"/>
        <v>7.0538439780033797E+71</v>
      </c>
      <c r="H1620" s="4">
        <f>SalaryFTECount*SalaryPerFTE*(1+SalaryGrowth)^1618</f>
        <v>7.6236382463325436E+32</v>
      </c>
      <c r="I1620" s="4">
        <f>SimOpsY1*(1+SimOpsGrowth)^1618</f>
        <v>3.6037747047815294E+58</v>
      </c>
      <c r="J1620" s="4">
        <f>TrainDevY1*(1+TrainDevGrowth)^1618</f>
        <v>1.8018873523907647E+58</v>
      </c>
      <c r="K1620" s="4">
        <f>AdminY1*(1+AdminGrowth)^1618</f>
        <v>1.761651484235776E+45</v>
      </c>
      <c r="L1620" s="4">
        <f t="shared" si="102"/>
        <v>5.4056620571724703E+58</v>
      </c>
      <c r="M1620" s="4">
        <f t="shared" si="103"/>
        <v>7.0538439780028392E+71</v>
      </c>
    </row>
    <row r="1621" spans="1:13" x14ac:dyDescent="0.2">
      <c r="A1621" s="3">
        <f>StartYear+1619</f>
        <v>3644</v>
      </c>
      <c r="B1621" s="4">
        <f>FacultyFTE*HoursPerWeek*WeeksPerYear*RatePerHour*(1+PracticeGrowth)^1619</f>
        <v>5.8192589337235636E+39</v>
      </c>
      <c r="C1621" s="4">
        <f>StudentsY1*(1+StudentGrowth)^1619*CreditsPerStudent*TuitionPerCredit</f>
        <v>3.6370368335772275E+40</v>
      </c>
      <c r="D1621" s="4">
        <f>SimRevY1*(1+SimGrowth)^1619</f>
        <v>5.1728189172024802E+71</v>
      </c>
      <c r="E1621" s="4">
        <f>FacDevRevY1*(1+FacDevGrowth)^1619</f>
        <v>2.5864094586012401E+71</v>
      </c>
      <c r="F1621" s="4">
        <f t="shared" si="100"/>
        <v>7.7592283758037208E+71</v>
      </c>
      <c r="G1621" s="4">
        <f t="shared" si="101"/>
        <v>7.7592283758037208E+71</v>
      </c>
      <c r="H1621" s="4">
        <f>SalaryFTECount*SalaryPerFTE*(1+SalaryGrowth)^1619</f>
        <v>7.9285837761858446E+32</v>
      </c>
      <c r="I1621" s="4">
        <f>SimOpsY1*(1+SimOpsGrowth)^1619</f>
        <v>3.8920766811640523E+58</v>
      </c>
      <c r="J1621" s="4">
        <f>TrainDevY1*(1+TrainDevGrowth)^1619</f>
        <v>1.9460383405820262E+58</v>
      </c>
      <c r="K1621" s="4">
        <f>AdminY1*(1+AdminGrowth)^1619</f>
        <v>1.8673505732899227E+45</v>
      </c>
      <c r="L1621" s="4">
        <f t="shared" si="102"/>
        <v>5.8381150217462641E+58</v>
      </c>
      <c r="M1621" s="4">
        <f t="shared" si="103"/>
        <v>7.7592283758031372E+71</v>
      </c>
    </row>
    <row r="1622" spans="1:13" x14ac:dyDescent="0.2">
      <c r="A1622" s="3">
        <f>StartYear+1620</f>
        <v>3645</v>
      </c>
      <c r="B1622" s="4">
        <f>FacultyFTE*HoursPerWeek*WeeksPerYear*RatePerHour*(1+PracticeGrowth)^1620</f>
        <v>6.110221880409742E+39</v>
      </c>
      <c r="C1622" s="4">
        <f>StudentsY1*(1+StudentGrowth)^1620*CreditsPerStudent*TuitionPerCredit</f>
        <v>3.8188886752560884E+40</v>
      </c>
      <c r="D1622" s="4">
        <f>SimRevY1*(1+SimGrowth)^1620</f>
        <v>5.6901008089227273E+71</v>
      </c>
      <c r="E1622" s="4">
        <f>FacDevRevY1*(1+FacDevGrowth)^1620</f>
        <v>2.8450504044613637E+71</v>
      </c>
      <c r="F1622" s="4">
        <f t="shared" si="100"/>
        <v>8.5351512133840915E+71</v>
      </c>
      <c r="G1622" s="4">
        <f t="shared" si="101"/>
        <v>8.5351512133840915E+71</v>
      </c>
      <c r="H1622" s="4">
        <f>SalaryFTECount*SalaryPerFTE*(1+SalaryGrowth)^1620</f>
        <v>8.2457271272332815E+32</v>
      </c>
      <c r="I1622" s="4">
        <f>SimOpsY1*(1+SimOpsGrowth)^1620</f>
        <v>4.2034428156571766E+58</v>
      </c>
      <c r="J1622" s="4">
        <f>TrainDevY1*(1+TrainDevGrowth)^1620</f>
        <v>2.1017214078285883E+58</v>
      </c>
      <c r="K1622" s="4">
        <f>AdminY1*(1+AdminGrowth)^1620</f>
        <v>1.9793916076873176E+45</v>
      </c>
      <c r="L1622" s="4">
        <f t="shared" si="102"/>
        <v>6.3051642234859631E+58</v>
      </c>
      <c r="M1622" s="4">
        <f t="shared" si="103"/>
        <v>8.5351512133834608E+71</v>
      </c>
    </row>
    <row r="1623" spans="1:13" x14ac:dyDescent="0.2">
      <c r="A1623" s="3">
        <f>StartYear+1621</f>
        <v>3646</v>
      </c>
      <c r="B1623" s="4">
        <f>FacultyFTE*HoursPerWeek*WeeksPerYear*RatePerHour*(1+PracticeGrowth)^1621</f>
        <v>6.4157329744302277E+39</v>
      </c>
      <c r="C1623" s="4">
        <f>StudentsY1*(1+StudentGrowth)^1621*CreditsPerStudent*TuitionPerCredit</f>
        <v>4.0098331090188924E+40</v>
      </c>
      <c r="D1623" s="4">
        <f>SimRevY1*(1+SimGrowth)^1621</f>
        <v>6.2591108898150007E+71</v>
      </c>
      <c r="E1623" s="4">
        <f>FacDevRevY1*(1+FacDevGrowth)^1621</f>
        <v>3.1295554449075004E+71</v>
      </c>
      <c r="F1623" s="4">
        <f t="shared" si="100"/>
        <v>9.3886663347225006E+71</v>
      </c>
      <c r="G1623" s="4">
        <f t="shared" si="101"/>
        <v>9.3886663347225006E+71</v>
      </c>
      <c r="H1623" s="4">
        <f>SalaryFTECount*SalaryPerFTE*(1+SalaryGrowth)^1621</f>
        <v>8.5755562123226143E+32</v>
      </c>
      <c r="I1623" s="4">
        <f>SimOpsY1*(1+SimOpsGrowth)^1621</f>
        <v>4.5397182409097508E+58</v>
      </c>
      <c r="J1623" s="4">
        <f>TrainDevY1*(1+TrainDevGrowth)^1621</f>
        <v>2.2698591204548754E+58</v>
      </c>
      <c r="K1623" s="4">
        <f>AdminY1*(1+AdminGrowth)^1621</f>
        <v>2.0981551041485573E+45</v>
      </c>
      <c r="L1623" s="4">
        <f t="shared" si="102"/>
        <v>6.8095773613648358E+58</v>
      </c>
      <c r="M1623" s="4">
        <f t="shared" si="103"/>
        <v>9.3886663347218199E+71</v>
      </c>
    </row>
    <row r="1624" spans="1:13" x14ac:dyDescent="0.2">
      <c r="A1624" s="3">
        <f>StartYear+1622</f>
        <v>3647</v>
      </c>
      <c r="B1624" s="4">
        <f>FacultyFTE*HoursPerWeek*WeeksPerYear*RatePerHour*(1+PracticeGrowth)^1622</f>
        <v>6.7365196231517407E+39</v>
      </c>
      <c r="C1624" s="4">
        <f>StudentsY1*(1+StudentGrowth)^1622*CreditsPerStudent*TuitionPerCredit</f>
        <v>4.2103247644698378E+40</v>
      </c>
      <c r="D1624" s="4">
        <f>SimRevY1*(1+SimGrowth)^1622</f>
        <v>6.8850219787965021E+71</v>
      </c>
      <c r="E1624" s="4">
        <f>FacDevRevY1*(1+FacDevGrowth)^1622</f>
        <v>3.442510989398251E+71</v>
      </c>
      <c r="F1624" s="4">
        <f t="shared" si="100"/>
        <v>1.0327532968194754E+72</v>
      </c>
      <c r="G1624" s="4">
        <f t="shared" si="101"/>
        <v>1.0327532968194754E+72</v>
      </c>
      <c r="H1624" s="4">
        <f>SalaryFTECount*SalaryPerFTE*(1+SalaryGrowth)^1622</f>
        <v>8.918578460815518E+32</v>
      </c>
      <c r="I1624" s="4">
        <f>SimOpsY1*(1+SimOpsGrowth)^1622</f>
        <v>4.9028957001825306E+58</v>
      </c>
      <c r="J1624" s="4">
        <f>TrainDevY1*(1+TrainDevGrowth)^1622</f>
        <v>2.4514478500912653E+58</v>
      </c>
      <c r="K1624" s="4">
        <f>AdminY1*(1+AdminGrowth)^1622</f>
        <v>2.2240444103974711E+45</v>
      </c>
      <c r="L1624" s="4">
        <f t="shared" si="102"/>
        <v>7.3543435502740181E+58</v>
      </c>
      <c r="M1624" s="4">
        <f t="shared" si="103"/>
        <v>1.0327532968194018E+72</v>
      </c>
    </row>
    <row r="1625" spans="1:13" x14ac:dyDescent="0.2">
      <c r="A1625" s="3">
        <f>StartYear+1623</f>
        <v>3648</v>
      </c>
      <c r="B1625" s="4">
        <f>FacultyFTE*HoursPerWeek*WeeksPerYear*RatePerHour*(1+PracticeGrowth)^1623</f>
        <v>7.0733456043093284E+39</v>
      </c>
      <c r="C1625" s="4">
        <f>StudentsY1*(1+StudentGrowth)^1623*CreditsPerStudent*TuitionPerCredit</f>
        <v>4.4208410026933298E+40</v>
      </c>
      <c r="D1625" s="4">
        <f>SimRevY1*(1+SimGrowth)^1623</f>
        <v>7.5735241766761524E+71</v>
      </c>
      <c r="E1625" s="4">
        <f>FacDevRevY1*(1+FacDevGrowth)^1623</f>
        <v>3.7867620883380762E+71</v>
      </c>
      <c r="F1625" s="4">
        <f t="shared" si="100"/>
        <v>1.1360286265014229E+72</v>
      </c>
      <c r="G1625" s="4">
        <f t="shared" si="101"/>
        <v>1.1360286265014229E+72</v>
      </c>
      <c r="H1625" s="4">
        <f>SalaryFTECount*SalaryPerFTE*(1+SalaryGrowth)^1623</f>
        <v>9.2753215992481381E+32</v>
      </c>
      <c r="I1625" s="4">
        <f>SimOpsY1*(1+SimOpsGrowth)^1623</f>
        <v>5.2951273561971347E+58</v>
      </c>
      <c r="J1625" s="4">
        <f>TrainDevY1*(1+TrainDevGrowth)^1623</f>
        <v>2.6475636780985673E+58</v>
      </c>
      <c r="K1625" s="4">
        <f>AdminY1*(1+AdminGrowth)^1623</f>
        <v>2.3574870750213199E+45</v>
      </c>
      <c r="L1625" s="4">
        <f t="shared" si="102"/>
        <v>7.9426910342959367E+58</v>
      </c>
      <c r="M1625" s="4">
        <f t="shared" si="103"/>
        <v>1.1360286265013434E+72</v>
      </c>
    </row>
    <row r="1626" spans="1:13" x14ac:dyDescent="0.2">
      <c r="A1626" s="3">
        <f>StartYear+1624</f>
        <v>3649</v>
      </c>
      <c r="B1626" s="4">
        <f>FacultyFTE*HoursPerWeek*WeeksPerYear*RatePerHour*(1+PracticeGrowth)^1624</f>
        <v>7.4270128845247939E+39</v>
      </c>
      <c r="C1626" s="4">
        <f>StudentsY1*(1+StudentGrowth)^1624*CreditsPerStudent*TuitionPerCredit</f>
        <v>4.6418830528279962E+40</v>
      </c>
      <c r="D1626" s="4">
        <f>SimRevY1*(1+SimGrowth)^1624</f>
        <v>8.3308765943437666E+71</v>
      </c>
      <c r="E1626" s="4">
        <f>FacDevRevY1*(1+FacDevGrowth)^1624</f>
        <v>4.1654382971718833E+71</v>
      </c>
      <c r="F1626" s="4">
        <f t="shared" si="100"/>
        <v>1.249631489151565E+72</v>
      </c>
      <c r="G1626" s="4">
        <f t="shared" si="101"/>
        <v>1.249631489151565E+72</v>
      </c>
      <c r="H1626" s="4">
        <f>SalaryFTECount*SalaryPerFTE*(1+SalaryGrowth)^1624</f>
        <v>9.6463344632180639E+32</v>
      </c>
      <c r="I1626" s="4">
        <f>SimOpsY1*(1+SimOpsGrowth)^1624</f>
        <v>5.7187375446929046E+58</v>
      </c>
      <c r="J1626" s="4">
        <f>TrainDevY1*(1+TrainDevGrowth)^1624</f>
        <v>2.8593687723464523E+58</v>
      </c>
      <c r="K1626" s="4">
        <f>AdminY1*(1+AdminGrowth)^1624</f>
        <v>2.4989362995225988E+45</v>
      </c>
      <c r="L1626" s="4">
        <f t="shared" si="102"/>
        <v>8.5781063170396062E+58</v>
      </c>
      <c r="M1626" s="4">
        <f t="shared" si="103"/>
        <v>1.2496314891514793E+72</v>
      </c>
    </row>
    <row r="1627" spans="1:13" x14ac:dyDescent="0.2">
      <c r="A1627" s="3">
        <f>StartYear+1625</f>
        <v>3650</v>
      </c>
      <c r="B1627" s="4">
        <f>FacultyFTE*HoursPerWeek*WeeksPerYear*RatePerHour*(1+PracticeGrowth)^1625</f>
        <v>7.7983635287510331E+39</v>
      </c>
      <c r="C1627" s="4">
        <f>StudentsY1*(1+StudentGrowth)^1625*CreditsPerStudent*TuitionPerCredit</f>
        <v>4.8739772054693957E+40</v>
      </c>
      <c r="D1627" s="4">
        <f>SimRevY1*(1+SimGrowth)^1625</f>
        <v>9.1639642537781458E+71</v>
      </c>
      <c r="E1627" s="4">
        <f>FacDevRevY1*(1+FacDevGrowth)^1625</f>
        <v>4.5819821268890729E+71</v>
      </c>
      <c r="F1627" s="4">
        <f t="shared" si="100"/>
        <v>1.374594638066722E+72</v>
      </c>
      <c r="G1627" s="4">
        <f t="shared" si="101"/>
        <v>1.374594638066722E+72</v>
      </c>
      <c r="H1627" s="4">
        <f>SalaryFTECount*SalaryPerFTE*(1+SalaryGrowth)^1625</f>
        <v>1.0032187841746788E+33</v>
      </c>
      <c r="I1627" s="4">
        <f>SimOpsY1*(1+SimOpsGrowth)^1625</f>
        <v>6.1762365482683382E+58</v>
      </c>
      <c r="J1627" s="4">
        <f>TrainDevY1*(1+TrainDevGrowth)^1625</f>
        <v>3.0881182741341691E+58</v>
      </c>
      <c r="K1627" s="4">
        <f>AdminY1*(1+AdminGrowth)^1625</f>
        <v>2.6488724774939546E+45</v>
      </c>
      <c r="L1627" s="4">
        <f t="shared" si="102"/>
        <v>9.2643548224027727E+58</v>
      </c>
      <c r="M1627" s="4">
        <f t="shared" si="103"/>
        <v>1.3745946380666294E+72</v>
      </c>
    </row>
    <row r="1628" spans="1:13" x14ac:dyDescent="0.2">
      <c r="A1628" s="3">
        <f>StartYear+1626</f>
        <v>3651</v>
      </c>
      <c r="B1628" s="4">
        <f>FacultyFTE*HoursPerWeek*WeeksPerYear*RatePerHour*(1+PracticeGrowth)^1626</f>
        <v>8.1882817051885854E+39</v>
      </c>
      <c r="C1628" s="4">
        <f>StudentsY1*(1+StudentGrowth)^1626*CreditsPerStudent*TuitionPerCredit</f>
        <v>5.1176760657428652E+40</v>
      </c>
      <c r="D1628" s="4">
        <f>SimRevY1*(1+SimGrowth)^1626</f>
        <v>1.0080360679155961E+72</v>
      </c>
      <c r="E1628" s="4">
        <f>FacDevRevY1*(1+FacDevGrowth)^1626</f>
        <v>5.0401803395779803E+71</v>
      </c>
      <c r="F1628" s="4">
        <f t="shared" si="100"/>
        <v>1.5120541018733941E+72</v>
      </c>
      <c r="G1628" s="4">
        <f t="shared" si="101"/>
        <v>1.5120541018733941E+72</v>
      </c>
      <c r="H1628" s="4">
        <f>SalaryFTECount*SalaryPerFTE*(1+SalaryGrowth)^1626</f>
        <v>1.0433475355416659E+33</v>
      </c>
      <c r="I1628" s="4">
        <f>SimOpsY1*(1+SimOpsGrowth)^1626</f>
        <v>6.6703354721298043E+58</v>
      </c>
      <c r="J1628" s="4">
        <f>TrainDevY1*(1+TrainDevGrowth)^1626</f>
        <v>3.3351677360649022E+58</v>
      </c>
      <c r="K1628" s="4">
        <f>AdminY1*(1+AdminGrowth)^1626</f>
        <v>2.8078048261435921E+45</v>
      </c>
      <c r="L1628" s="4">
        <f t="shared" si="102"/>
        <v>1.0005503208194987E+59</v>
      </c>
      <c r="M1628" s="4">
        <f t="shared" si="103"/>
        <v>1.512054101873294E+72</v>
      </c>
    </row>
    <row r="1629" spans="1:13" x14ac:dyDescent="0.2">
      <c r="A1629" s="3">
        <f>StartYear+1627</f>
        <v>3652</v>
      </c>
      <c r="B1629" s="4">
        <f>FacultyFTE*HoursPerWeek*WeeksPerYear*RatePerHour*(1+PracticeGrowth)^1627</f>
        <v>8.5976957904480156E+39</v>
      </c>
      <c r="C1629" s="4">
        <f>StudentsY1*(1+StudentGrowth)^1627*CreditsPerStudent*TuitionPerCredit</f>
        <v>5.3735598690300104E+40</v>
      </c>
      <c r="D1629" s="4">
        <f>SimRevY1*(1+SimGrowth)^1627</f>
        <v>1.1088396747071557E+72</v>
      </c>
      <c r="E1629" s="4">
        <f>FacDevRevY1*(1+FacDevGrowth)^1627</f>
        <v>5.5441983735357785E+71</v>
      </c>
      <c r="F1629" s="4">
        <f t="shared" si="100"/>
        <v>1.6632595120607335E+72</v>
      </c>
      <c r="G1629" s="4">
        <f t="shared" si="101"/>
        <v>1.6632595120607335E+72</v>
      </c>
      <c r="H1629" s="4">
        <f>SalaryFTECount*SalaryPerFTE*(1+SalaryGrowth)^1627</f>
        <v>1.0850814369633326E+33</v>
      </c>
      <c r="I1629" s="4">
        <f>SimOpsY1*(1+SimOpsGrowth)^1627</f>
        <v>7.2039623099001891E+58</v>
      </c>
      <c r="J1629" s="4">
        <f>TrainDevY1*(1+TrainDevGrowth)^1627</f>
        <v>3.6019811549500945E+58</v>
      </c>
      <c r="K1629" s="4">
        <f>AdminY1*(1+AdminGrowth)^1627</f>
        <v>2.9762731157122079E+45</v>
      </c>
      <c r="L1629" s="4">
        <f t="shared" si="102"/>
        <v>1.0805943464850579E+59</v>
      </c>
      <c r="M1629" s="4">
        <f t="shared" si="103"/>
        <v>1.6632595120606255E+72</v>
      </c>
    </row>
    <row r="1630" spans="1:13" x14ac:dyDescent="0.2">
      <c r="A1630" s="3">
        <f>StartYear+1628</f>
        <v>3653</v>
      </c>
      <c r="B1630" s="4">
        <f>FacultyFTE*HoursPerWeek*WeeksPerYear*RatePerHour*(1+PracticeGrowth)^1628</f>
        <v>9.0275805799704153E+39</v>
      </c>
      <c r="C1630" s="4">
        <f>StudentsY1*(1+StudentGrowth)^1628*CreditsPerStudent*TuitionPerCredit</f>
        <v>5.6422378624815088E+40</v>
      </c>
      <c r="D1630" s="4">
        <f>SimRevY1*(1+SimGrowth)^1628</f>
        <v>1.2197236421778711E+72</v>
      </c>
      <c r="E1630" s="4">
        <f>FacDevRevY1*(1+FacDevGrowth)^1628</f>
        <v>6.0986182108893554E+71</v>
      </c>
      <c r="F1630" s="4">
        <f t="shared" si="100"/>
        <v>1.8295854632668066E+72</v>
      </c>
      <c r="G1630" s="4">
        <f t="shared" si="101"/>
        <v>1.8295854632668066E+72</v>
      </c>
      <c r="H1630" s="4">
        <f>SalaryFTECount*SalaryPerFTE*(1+SalaryGrowth)^1628</f>
        <v>1.128484694441866E+33</v>
      </c>
      <c r="I1630" s="4">
        <f>SimOpsY1*(1+SimOpsGrowth)^1628</f>
        <v>7.780279294692205E+58</v>
      </c>
      <c r="J1630" s="4">
        <f>TrainDevY1*(1+TrainDevGrowth)^1628</f>
        <v>3.8901396473461025E+58</v>
      </c>
      <c r="K1630" s="4">
        <f>AdminY1*(1+AdminGrowth)^1628</f>
        <v>3.1548495026549402E+45</v>
      </c>
      <c r="L1630" s="4">
        <f t="shared" si="102"/>
        <v>1.1670418942038623E+59</v>
      </c>
      <c r="M1630" s="4">
        <f t="shared" si="103"/>
        <v>1.8295854632666901E+72</v>
      </c>
    </row>
    <row r="1631" spans="1:13" x14ac:dyDescent="0.2">
      <c r="A1631" s="3">
        <f>StartYear+1629</f>
        <v>3654</v>
      </c>
      <c r="B1631" s="4">
        <f>FacultyFTE*HoursPerWeek*WeeksPerYear*RatePerHour*(1+PracticeGrowth)^1629</f>
        <v>9.4789596089689382E+39</v>
      </c>
      <c r="C1631" s="4">
        <f>StudentsY1*(1+StudentGrowth)^1629*CreditsPerStudent*TuitionPerCredit</f>
        <v>5.9243497556055855E+40</v>
      </c>
      <c r="D1631" s="4">
        <f>SimRevY1*(1+SimGrowth)^1629</f>
        <v>1.3416960063956585E+72</v>
      </c>
      <c r="E1631" s="4">
        <f>FacDevRevY1*(1+FacDevGrowth)^1629</f>
        <v>6.7084800319782923E+71</v>
      </c>
      <c r="F1631" s="4">
        <f t="shared" si="100"/>
        <v>2.0125440095934876E+72</v>
      </c>
      <c r="G1631" s="4">
        <f t="shared" si="101"/>
        <v>2.0125440095934876E+72</v>
      </c>
      <c r="H1631" s="4">
        <f>SalaryFTECount*SalaryPerFTE*(1+SalaryGrowth)^1629</f>
        <v>1.1736240822195409E+33</v>
      </c>
      <c r="I1631" s="4">
        <f>SimOpsY1*(1+SimOpsGrowth)^1629</f>
        <v>8.4027016382675822E+58</v>
      </c>
      <c r="J1631" s="4">
        <f>TrainDevY1*(1+TrainDevGrowth)^1629</f>
        <v>4.2013508191337911E+58</v>
      </c>
      <c r="K1631" s="4">
        <f>AdminY1*(1+AdminGrowth)^1629</f>
        <v>3.3441404728142371E+45</v>
      </c>
      <c r="L1631" s="4">
        <f t="shared" si="102"/>
        <v>1.2604052457401708E+59</v>
      </c>
      <c r="M1631" s="4">
        <f t="shared" si="103"/>
        <v>2.0125440095933616E+72</v>
      </c>
    </row>
    <row r="1632" spans="1:13" x14ac:dyDescent="0.2">
      <c r="A1632" s="3">
        <f>StartYear+1630</f>
        <v>3655</v>
      </c>
      <c r="B1632" s="4">
        <f>FacultyFTE*HoursPerWeek*WeeksPerYear*RatePerHour*(1+PracticeGrowth)^1630</f>
        <v>9.9529075894173807E+39</v>
      </c>
      <c r="C1632" s="4">
        <f>StudentsY1*(1+StudentGrowth)^1630*CreditsPerStudent*TuitionPerCredit</f>
        <v>6.2205672433858638E+40</v>
      </c>
      <c r="D1632" s="4">
        <f>SimRevY1*(1+SimGrowth)^1630</f>
        <v>1.4758656070352248E+72</v>
      </c>
      <c r="E1632" s="4">
        <f>FacDevRevY1*(1+FacDevGrowth)^1630</f>
        <v>7.3793280351761241E+71</v>
      </c>
      <c r="F1632" s="4">
        <f t="shared" si="100"/>
        <v>2.2137984105528374E+72</v>
      </c>
      <c r="G1632" s="4">
        <f t="shared" si="101"/>
        <v>2.2137984105528374E+72</v>
      </c>
      <c r="H1632" s="4">
        <f>SalaryFTECount*SalaryPerFTE*(1+SalaryGrowth)^1630</f>
        <v>1.220569045508322E+33</v>
      </c>
      <c r="I1632" s="4">
        <f>SimOpsY1*(1+SimOpsGrowth)^1630</f>
        <v>9.0749177693289886E+58</v>
      </c>
      <c r="J1632" s="4">
        <f>TrainDevY1*(1+TrainDevGrowth)^1630</f>
        <v>4.5374588846644943E+58</v>
      </c>
      <c r="K1632" s="4">
        <f>AdminY1*(1+AdminGrowth)^1630</f>
        <v>3.5447889011830917E+45</v>
      </c>
      <c r="L1632" s="4">
        <f t="shared" si="102"/>
        <v>1.3612376653993837E+59</v>
      </c>
      <c r="M1632" s="4">
        <f t="shared" si="103"/>
        <v>2.2137984105527013E+72</v>
      </c>
    </row>
    <row r="1633" spans="1:13" x14ac:dyDescent="0.2">
      <c r="A1633" s="3">
        <f>StartYear+1631</f>
        <v>3656</v>
      </c>
      <c r="B1633" s="4">
        <f>FacultyFTE*HoursPerWeek*WeeksPerYear*RatePerHour*(1+PracticeGrowth)^1631</f>
        <v>1.0450552968888255E+40</v>
      </c>
      <c r="C1633" s="4">
        <f>StudentsY1*(1+StudentGrowth)^1631*CreditsPerStudent*TuitionPerCredit</f>
        <v>6.5315956055551598E+40</v>
      </c>
      <c r="D1633" s="4">
        <f>SimRevY1*(1+SimGrowth)^1631</f>
        <v>1.6234521677387471E+72</v>
      </c>
      <c r="E1633" s="4">
        <f>FacDevRevY1*(1+FacDevGrowth)^1631</f>
        <v>8.1172608386937356E+71</v>
      </c>
      <c r="F1633" s="4">
        <f t="shared" si="100"/>
        <v>2.4351782516081209E+72</v>
      </c>
      <c r="G1633" s="4">
        <f t="shared" si="101"/>
        <v>2.4351782516081209E+72</v>
      </c>
      <c r="H1633" s="4">
        <f>SalaryFTECount*SalaryPerFTE*(1+SalaryGrowth)^1631</f>
        <v>1.2693918073286554E+33</v>
      </c>
      <c r="I1633" s="4">
        <f>SimOpsY1*(1+SimOpsGrowth)^1631</f>
        <v>9.8009111908753089E+58</v>
      </c>
      <c r="J1633" s="4">
        <f>TrainDevY1*(1+TrainDevGrowth)^1631</f>
        <v>4.9004555954376544E+58</v>
      </c>
      <c r="K1633" s="4">
        <f>AdminY1*(1+AdminGrowth)^1631</f>
        <v>3.7574762352540774E+45</v>
      </c>
      <c r="L1633" s="4">
        <f t="shared" si="102"/>
        <v>1.4701366786313337E+59</v>
      </c>
      <c r="M1633" s="4">
        <f t="shared" si="103"/>
        <v>2.4351782516079737E+72</v>
      </c>
    </row>
    <row r="1634" spans="1:13" x14ac:dyDescent="0.2">
      <c r="A1634" s="3">
        <f>StartYear+1632</f>
        <v>3657</v>
      </c>
      <c r="B1634" s="4">
        <f>FacultyFTE*HoursPerWeek*WeeksPerYear*RatePerHour*(1+PracticeGrowth)^1632</f>
        <v>1.0973080617332666E+40</v>
      </c>
      <c r="C1634" s="4">
        <f>StudentsY1*(1+StudentGrowth)^1632*CreditsPerStudent*TuitionPerCredit</f>
        <v>6.8581753858329146E+40</v>
      </c>
      <c r="D1634" s="4">
        <f>SimRevY1*(1+SimGrowth)^1632</f>
        <v>1.7857973845126219E+72</v>
      </c>
      <c r="E1634" s="4">
        <f>FacDevRevY1*(1+FacDevGrowth)^1632</f>
        <v>8.9289869225631093E+71</v>
      </c>
      <c r="F1634" s="4">
        <f t="shared" si="100"/>
        <v>2.6786960767689328E+72</v>
      </c>
      <c r="G1634" s="4">
        <f t="shared" si="101"/>
        <v>2.6786960767689328E+72</v>
      </c>
      <c r="H1634" s="4">
        <f>SalaryFTECount*SalaryPerFTE*(1+SalaryGrowth)^1632</f>
        <v>1.3201674796218017E+33</v>
      </c>
      <c r="I1634" s="4">
        <f>SimOpsY1*(1+SimOpsGrowth)^1632</f>
        <v>1.0584984086145337E+59</v>
      </c>
      <c r="J1634" s="4">
        <f>TrainDevY1*(1+TrainDevGrowth)^1632</f>
        <v>5.2924920430726683E+58</v>
      </c>
      <c r="K1634" s="4">
        <f>AdminY1*(1+AdminGrowth)^1632</f>
        <v>3.9829248093693217E+45</v>
      </c>
      <c r="L1634" s="4">
        <f t="shared" si="102"/>
        <v>1.5877476129218404E+59</v>
      </c>
      <c r="M1634" s="4">
        <f t="shared" si="103"/>
        <v>2.6786960767687739E+72</v>
      </c>
    </row>
    <row r="1635" spans="1:13" x14ac:dyDescent="0.2">
      <c r="A1635" s="3">
        <f>StartYear+1633</f>
        <v>3658</v>
      </c>
      <c r="B1635" s="4">
        <f>FacultyFTE*HoursPerWeek*WeeksPerYear*RatePerHour*(1+PracticeGrowth)^1633</f>
        <v>1.15217346481993E+40</v>
      </c>
      <c r="C1635" s="4">
        <f>StudentsY1*(1+StudentGrowth)^1633*CreditsPerStudent*TuitionPerCredit</f>
        <v>7.2010841551245608E+40</v>
      </c>
      <c r="D1635" s="4">
        <f>SimRevY1*(1+SimGrowth)^1633</f>
        <v>1.9643771229638842E+72</v>
      </c>
      <c r="E1635" s="4">
        <f>FacDevRevY1*(1+FacDevGrowth)^1633</f>
        <v>9.821885614819421E+71</v>
      </c>
      <c r="F1635" s="4">
        <f t="shared" si="100"/>
        <v>2.9465656844458263E+72</v>
      </c>
      <c r="G1635" s="4">
        <f t="shared" si="101"/>
        <v>2.9465656844458263E+72</v>
      </c>
      <c r="H1635" s="4">
        <f>SalaryFTECount*SalaryPerFTE*(1+SalaryGrowth)^1633</f>
        <v>1.3729741788066735E+33</v>
      </c>
      <c r="I1635" s="4">
        <f>SimOpsY1*(1+SimOpsGrowth)^1633</f>
        <v>1.1431782813036961E+59</v>
      </c>
      <c r="J1635" s="4">
        <f>TrainDevY1*(1+TrainDevGrowth)^1633</f>
        <v>5.7158914065184806E+58</v>
      </c>
      <c r="K1635" s="4">
        <f>AdminY1*(1+AdminGrowth)^1633</f>
        <v>4.221900297931481E+45</v>
      </c>
      <c r="L1635" s="4">
        <f t="shared" si="102"/>
        <v>1.7147674219555863E+59</v>
      </c>
      <c r="M1635" s="4">
        <f t="shared" si="103"/>
        <v>2.9465656844456549E+72</v>
      </c>
    </row>
    <row r="1636" spans="1:13" x14ac:dyDescent="0.2">
      <c r="A1636" s="3">
        <f>StartYear+1634</f>
        <v>3659</v>
      </c>
      <c r="B1636" s="4">
        <f>FacultyFTE*HoursPerWeek*WeeksPerYear*RatePerHour*(1+PracticeGrowth)^1634</f>
        <v>1.2097821380609264E+40</v>
      </c>
      <c r="C1636" s="4">
        <f>StudentsY1*(1+StudentGrowth)^1634*CreditsPerStudent*TuitionPerCredit</f>
        <v>7.5611383628807901E+40</v>
      </c>
      <c r="D1636" s="4">
        <f>SimRevY1*(1+SimGrowth)^1634</f>
        <v>2.1608148352602729E+72</v>
      </c>
      <c r="E1636" s="4">
        <f>FacDevRevY1*(1+FacDevGrowth)^1634</f>
        <v>1.0804074176301364E+72</v>
      </c>
      <c r="F1636" s="4">
        <f t="shared" si="100"/>
        <v>3.2412222528904095E+72</v>
      </c>
      <c r="G1636" s="4">
        <f t="shared" si="101"/>
        <v>3.2412222528904095E+72</v>
      </c>
      <c r="H1636" s="4">
        <f>SalaryFTECount*SalaryPerFTE*(1+SalaryGrowth)^1634</f>
        <v>1.4278931459589407E+33</v>
      </c>
      <c r="I1636" s="4">
        <f>SimOpsY1*(1+SimOpsGrowth)^1634</f>
        <v>1.2346325438079917E+59</v>
      </c>
      <c r="J1636" s="4">
        <f>TrainDevY1*(1+TrainDevGrowth)^1634</f>
        <v>6.1731627190399587E+58</v>
      </c>
      <c r="K1636" s="4">
        <f>AdminY1*(1+AdminGrowth)^1634</f>
        <v>4.4752143158073701E+45</v>
      </c>
      <c r="L1636" s="4">
        <f t="shared" si="102"/>
        <v>1.8519488157120324E+59</v>
      </c>
      <c r="M1636" s="4">
        <f t="shared" si="103"/>
        <v>3.2412222528902243E+72</v>
      </c>
    </row>
    <row r="1637" spans="1:13" x14ac:dyDescent="0.2">
      <c r="A1637" s="3">
        <f>StartYear+1635</f>
        <v>3660</v>
      </c>
      <c r="B1637" s="4">
        <f>FacultyFTE*HoursPerWeek*WeeksPerYear*RatePerHour*(1+PracticeGrowth)^1635</f>
        <v>1.2702712449639729E+40</v>
      </c>
      <c r="C1637" s="4">
        <f>StudentsY1*(1+StudentGrowth)^1635*CreditsPerStudent*TuitionPerCredit</f>
        <v>7.93919528102483E+40</v>
      </c>
      <c r="D1637" s="4">
        <f>SimRevY1*(1+SimGrowth)^1635</f>
        <v>2.3768963187863002E+72</v>
      </c>
      <c r="E1637" s="4">
        <f>FacDevRevY1*(1+FacDevGrowth)^1635</f>
        <v>1.1884481593931501E+72</v>
      </c>
      <c r="F1637" s="4">
        <f t="shared" si="100"/>
        <v>3.5653444781794503E+72</v>
      </c>
      <c r="G1637" s="4">
        <f t="shared" si="101"/>
        <v>3.5653444781794503E+72</v>
      </c>
      <c r="H1637" s="4">
        <f>SalaryFTECount*SalaryPerFTE*(1+SalaryGrowth)^1635</f>
        <v>1.4850088717972983E+33</v>
      </c>
      <c r="I1637" s="4">
        <f>SimOpsY1*(1+SimOpsGrowth)^1635</f>
        <v>1.3334031473126313E+59</v>
      </c>
      <c r="J1637" s="4">
        <f>TrainDevY1*(1+TrainDevGrowth)^1635</f>
        <v>6.6670157365631567E+58</v>
      </c>
      <c r="K1637" s="4">
        <f>AdminY1*(1+AdminGrowth)^1635</f>
        <v>4.743727174755813E+45</v>
      </c>
      <c r="L1637" s="4">
        <f t="shared" si="102"/>
        <v>2.0001047209689945E+59</v>
      </c>
      <c r="M1637" s="4">
        <f t="shared" si="103"/>
        <v>3.5653444781792502E+72</v>
      </c>
    </row>
    <row r="1638" spans="1:13" x14ac:dyDescent="0.2">
      <c r="A1638" s="3">
        <f>StartYear+1636</f>
        <v>3661</v>
      </c>
      <c r="B1638" s="4">
        <f>FacultyFTE*HoursPerWeek*WeeksPerYear*RatePerHour*(1+PracticeGrowth)^1636</f>
        <v>1.3337848072121713E+40</v>
      </c>
      <c r="C1638" s="4">
        <f>StudentsY1*(1+StudentGrowth)^1636*CreditsPerStudent*TuitionPerCredit</f>
        <v>8.3361550450760705E+40</v>
      </c>
      <c r="D1638" s="4">
        <f>SimRevY1*(1+SimGrowth)^1636</f>
        <v>2.6145859506649305E+72</v>
      </c>
      <c r="E1638" s="4">
        <f>FacDevRevY1*(1+FacDevGrowth)^1636</f>
        <v>1.3072929753324653E+72</v>
      </c>
      <c r="F1638" s="4">
        <f t="shared" si="100"/>
        <v>3.9218789259973954E+72</v>
      </c>
      <c r="G1638" s="4">
        <f t="shared" si="101"/>
        <v>3.9218789259973954E+72</v>
      </c>
      <c r="H1638" s="4">
        <f>SalaryFTECount*SalaryPerFTE*(1+SalaryGrowth)^1636</f>
        <v>1.5444092266691901E+33</v>
      </c>
      <c r="I1638" s="4">
        <f>SimOpsY1*(1+SimOpsGrowth)^1636</f>
        <v>1.4400753990976422E+59</v>
      </c>
      <c r="J1638" s="4">
        <f>TrainDevY1*(1+TrainDevGrowth)^1636</f>
        <v>7.200376995488211E+58</v>
      </c>
      <c r="K1638" s="4">
        <f>AdminY1*(1+AdminGrowth)^1636</f>
        <v>5.0283508052411624E+45</v>
      </c>
      <c r="L1638" s="4">
        <f t="shared" si="102"/>
        <v>2.1601130986465138E+59</v>
      </c>
      <c r="M1638" s="4">
        <f t="shared" si="103"/>
        <v>3.9218789259971796E+72</v>
      </c>
    </row>
    <row r="1639" spans="1:13" x14ac:dyDescent="0.2">
      <c r="A1639" s="3">
        <f>StartYear+1637</f>
        <v>3662</v>
      </c>
      <c r="B1639" s="4">
        <f>FacultyFTE*HoursPerWeek*WeeksPerYear*RatePerHour*(1+PracticeGrowth)^1637</f>
        <v>1.40047404757278E+40</v>
      </c>
      <c r="C1639" s="4">
        <f>StudentsY1*(1+StudentGrowth)^1637*CreditsPerStudent*TuitionPerCredit</f>
        <v>8.7529627973298752E+40</v>
      </c>
      <c r="D1639" s="4">
        <f>SimRevY1*(1+SimGrowth)^1637</f>
        <v>2.8760445457314233E+72</v>
      </c>
      <c r="E1639" s="4">
        <f>FacDevRevY1*(1+FacDevGrowth)^1637</f>
        <v>1.4380222728657117E+72</v>
      </c>
      <c r="F1639" s="4">
        <f t="shared" si="100"/>
        <v>4.3140668185971346E+72</v>
      </c>
      <c r="G1639" s="4">
        <f t="shared" si="101"/>
        <v>4.3140668185971346E+72</v>
      </c>
      <c r="H1639" s="4">
        <f>SalaryFTECount*SalaryPerFTE*(1+SalaryGrowth)^1637</f>
        <v>1.6061855957359582E+33</v>
      </c>
      <c r="I1639" s="4">
        <f>SimOpsY1*(1+SimOpsGrowth)^1637</f>
        <v>1.5552814310254535E+59</v>
      </c>
      <c r="J1639" s="4">
        <f>TrainDevY1*(1+TrainDevGrowth)^1637</f>
        <v>7.7764071551272674E+58</v>
      </c>
      <c r="K1639" s="4">
        <f>AdminY1*(1+AdminGrowth)^1637</f>
        <v>5.3300518535556317E+45</v>
      </c>
      <c r="L1639" s="4">
        <f t="shared" si="102"/>
        <v>2.3329221465382335E+59</v>
      </c>
      <c r="M1639" s="4">
        <f t="shared" si="103"/>
        <v>4.3140668185969016E+72</v>
      </c>
    </row>
    <row r="1640" spans="1:13" x14ac:dyDescent="0.2">
      <c r="A1640" s="3">
        <f>StartYear+1638</f>
        <v>3663</v>
      </c>
      <c r="B1640" s="4">
        <f>FacultyFTE*HoursPerWeek*WeeksPerYear*RatePerHour*(1+PracticeGrowth)^1638</f>
        <v>1.4704977499514189E+40</v>
      </c>
      <c r="C1640" s="4">
        <f>StudentsY1*(1+StudentGrowth)^1638*CreditsPerStudent*TuitionPerCredit</f>
        <v>9.1906109371963687E+40</v>
      </c>
      <c r="D1640" s="4">
        <f>SimRevY1*(1+SimGrowth)^1638</f>
        <v>3.1636490003045664E+72</v>
      </c>
      <c r="E1640" s="4">
        <f>FacDevRevY1*(1+FacDevGrowth)^1638</f>
        <v>1.5818245001522832E+72</v>
      </c>
      <c r="F1640" s="4">
        <f t="shared" si="100"/>
        <v>4.7454735004568492E+72</v>
      </c>
      <c r="G1640" s="4">
        <f t="shared" si="101"/>
        <v>4.7454735004568492E+72</v>
      </c>
      <c r="H1640" s="4">
        <f>SalaryFTECount*SalaryPerFTE*(1+SalaryGrowth)^1638</f>
        <v>1.6704330195653963E+33</v>
      </c>
      <c r="I1640" s="4">
        <f>SimOpsY1*(1+SimOpsGrowth)^1638</f>
        <v>1.6797039455074897E+59</v>
      </c>
      <c r="J1640" s="4">
        <f>TrainDevY1*(1+TrainDevGrowth)^1638</f>
        <v>8.3985197275374486E+58</v>
      </c>
      <c r="K1640" s="4">
        <f>AdminY1*(1+AdminGrowth)^1638</f>
        <v>5.6498549647689707E+45</v>
      </c>
      <c r="L1640" s="4">
        <f t="shared" si="102"/>
        <v>2.5195559182612913E+59</v>
      </c>
      <c r="M1640" s="4">
        <f t="shared" si="103"/>
        <v>4.7454735004565973E+72</v>
      </c>
    </row>
    <row r="1641" spans="1:13" x14ac:dyDescent="0.2">
      <c r="A1641" s="3">
        <f>StartYear+1639</f>
        <v>3664</v>
      </c>
      <c r="B1641" s="4">
        <f>FacultyFTE*HoursPerWeek*WeeksPerYear*RatePerHour*(1+PracticeGrowth)^1639</f>
        <v>1.5440226374489901E+40</v>
      </c>
      <c r="C1641" s="4">
        <f>StudentsY1*(1+StudentGrowth)^1639*CreditsPerStudent*TuitionPerCredit</f>
        <v>9.6501414840561895E+40</v>
      </c>
      <c r="D1641" s="4">
        <f>SimRevY1*(1+SimGrowth)^1639</f>
        <v>3.4800139003350235E+72</v>
      </c>
      <c r="E1641" s="4">
        <f>FacDevRevY1*(1+FacDevGrowth)^1639</f>
        <v>1.7400069501675117E+72</v>
      </c>
      <c r="F1641" s="4">
        <f t="shared" si="100"/>
        <v>5.220020850502535E+72</v>
      </c>
      <c r="G1641" s="4">
        <f t="shared" si="101"/>
        <v>5.220020850502535E+72</v>
      </c>
      <c r="H1641" s="4">
        <f>SalaryFTECount*SalaryPerFTE*(1+SalaryGrowth)^1639</f>
        <v>1.7372503403480123E+33</v>
      </c>
      <c r="I1641" s="4">
        <f>SimOpsY1*(1+SimOpsGrowth)^1639</f>
        <v>1.8140802611480891E+59</v>
      </c>
      <c r="J1641" s="4">
        <f>TrainDevY1*(1+TrainDevGrowth)^1639</f>
        <v>9.0704013057404453E+58</v>
      </c>
      <c r="K1641" s="4">
        <f>AdminY1*(1+AdminGrowth)^1639</f>
        <v>5.9888462626551106E+45</v>
      </c>
      <c r="L1641" s="4">
        <f t="shared" si="102"/>
        <v>2.7211203917221935E+59</v>
      </c>
      <c r="M1641" s="4">
        <f t="shared" si="103"/>
        <v>5.2200208505022628E+72</v>
      </c>
    </row>
    <row r="1642" spans="1:13" x14ac:dyDescent="0.2">
      <c r="A1642" s="3">
        <f>StartYear+1640</f>
        <v>3665</v>
      </c>
      <c r="B1642" s="4">
        <f>FacultyFTE*HoursPerWeek*WeeksPerYear*RatePerHour*(1+PracticeGrowth)^1640</f>
        <v>1.6212237693214393E+40</v>
      </c>
      <c r="C1642" s="4">
        <f>StudentsY1*(1+StudentGrowth)^1640*CreditsPerStudent*TuitionPerCredit</f>
        <v>1.0132648558258996E+41</v>
      </c>
      <c r="D1642" s="4">
        <f>SimRevY1*(1+SimGrowth)^1640</f>
        <v>3.8280152903685256E+72</v>
      </c>
      <c r="E1642" s="4">
        <f>FacDevRevY1*(1+FacDevGrowth)^1640</f>
        <v>1.9140076451842628E+72</v>
      </c>
      <c r="F1642" s="4">
        <f t="shared" si="100"/>
        <v>5.7420229355527881E+72</v>
      </c>
      <c r="G1642" s="4">
        <f t="shared" si="101"/>
        <v>5.7420229355527881E+72</v>
      </c>
      <c r="H1642" s="4">
        <f>SalaryFTECount*SalaryPerFTE*(1+SalaryGrowth)^1640</f>
        <v>1.8067403539619332E+33</v>
      </c>
      <c r="I1642" s="4">
        <f>SimOpsY1*(1+SimOpsGrowth)^1640</f>
        <v>1.959206682039936E+59</v>
      </c>
      <c r="J1642" s="4">
        <f>TrainDevY1*(1+TrainDevGrowth)^1640</f>
        <v>9.7960334101996801E+58</v>
      </c>
      <c r="K1642" s="4">
        <f>AdminY1*(1+AdminGrowth)^1640</f>
        <v>6.348177038414416E+45</v>
      </c>
      <c r="L1642" s="4">
        <f t="shared" si="102"/>
        <v>2.9388100230599674E+59</v>
      </c>
      <c r="M1642" s="4">
        <f t="shared" si="103"/>
        <v>5.7420229355524938E+72</v>
      </c>
    </row>
    <row r="1643" spans="1:13" x14ac:dyDescent="0.2">
      <c r="A1643" s="3">
        <f>StartYear+1641</f>
        <v>3666</v>
      </c>
      <c r="B1643" s="4">
        <f>FacultyFTE*HoursPerWeek*WeeksPerYear*RatePerHour*(1+PracticeGrowth)^1641</f>
        <v>1.7022849577875112E+40</v>
      </c>
      <c r="C1643" s="4">
        <f>StudentsY1*(1+StudentGrowth)^1641*CreditsPerStudent*TuitionPerCredit</f>
        <v>1.0639280986171945E+41</v>
      </c>
      <c r="D1643" s="4">
        <f>SimRevY1*(1+SimGrowth)^1641</f>
        <v>4.2108168194053778E+72</v>
      </c>
      <c r="E1643" s="4">
        <f>FacDevRevY1*(1+FacDevGrowth)^1641</f>
        <v>2.1054084097026889E+72</v>
      </c>
      <c r="F1643" s="4">
        <f t="shared" si="100"/>
        <v>6.3162252291080667E+72</v>
      </c>
      <c r="G1643" s="4">
        <f t="shared" si="101"/>
        <v>6.3162252291080667E+72</v>
      </c>
      <c r="H1643" s="4">
        <f>SalaryFTECount*SalaryPerFTE*(1+SalaryGrowth)^1641</f>
        <v>1.8790099681204102E+33</v>
      </c>
      <c r="I1643" s="4">
        <f>SimOpsY1*(1+SimOpsGrowth)^1641</f>
        <v>2.115943216603131E+59</v>
      </c>
      <c r="J1643" s="4">
        <f>TrainDevY1*(1+TrainDevGrowth)^1641</f>
        <v>1.0579716083015655E+59</v>
      </c>
      <c r="K1643" s="4">
        <f>AdminY1*(1+AdminGrowth)^1641</f>
        <v>6.7290676607192806E+45</v>
      </c>
      <c r="L1643" s="4">
        <f t="shared" si="102"/>
        <v>3.1739148249047639E+59</v>
      </c>
      <c r="M1643" s="4">
        <f t="shared" si="103"/>
        <v>6.3162252291077489E+72</v>
      </c>
    </row>
    <row r="1644" spans="1:13" x14ac:dyDescent="0.2">
      <c r="A1644" s="3">
        <f>StartYear+1642</f>
        <v>3667</v>
      </c>
      <c r="B1644" s="4">
        <f>FacultyFTE*HoursPerWeek*WeeksPerYear*RatePerHour*(1+PracticeGrowth)^1642</f>
        <v>1.7873992056768871E+40</v>
      </c>
      <c r="C1644" s="4">
        <f>StudentsY1*(1+StudentGrowth)^1642*CreditsPerStudent*TuitionPerCredit</f>
        <v>1.1171245035480545E+41</v>
      </c>
      <c r="D1644" s="4">
        <f>SimRevY1*(1+SimGrowth)^1642</f>
        <v>4.6318985013459164E+72</v>
      </c>
      <c r="E1644" s="4">
        <f>FacDevRevY1*(1+FacDevGrowth)^1642</f>
        <v>2.3159492506729582E+72</v>
      </c>
      <c r="F1644" s="4">
        <f t="shared" si="100"/>
        <v>6.9478477520188746E+72</v>
      </c>
      <c r="G1644" s="4">
        <f t="shared" si="101"/>
        <v>6.9478477520188746E+72</v>
      </c>
      <c r="H1644" s="4">
        <f>SalaryFTECount*SalaryPerFTE*(1+SalaryGrowth)^1642</f>
        <v>1.9541703668452267E+33</v>
      </c>
      <c r="I1644" s="4">
        <f>SimOpsY1*(1+SimOpsGrowth)^1642</f>
        <v>2.2852186739313817E+59</v>
      </c>
      <c r="J1644" s="4">
        <f>TrainDevY1*(1+TrainDevGrowth)^1642</f>
        <v>1.1426093369656908E+59</v>
      </c>
      <c r="K1644" s="4">
        <f>AdminY1*(1+AdminGrowth)^1642</f>
        <v>7.1328117203624375E+45</v>
      </c>
      <c r="L1644" s="4">
        <f t="shared" si="102"/>
        <v>3.4278280108971439E+59</v>
      </c>
      <c r="M1644" s="4">
        <f t="shared" si="103"/>
        <v>6.9478477520185317E+72</v>
      </c>
    </row>
    <row r="1645" spans="1:13" x14ac:dyDescent="0.2">
      <c r="A1645" s="3">
        <f>StartYear+1643</f>
        <v>3668</v>
      </c>
      <c r="B1645" s="4">
        <f>FacultyFTE*HoursPerWeek*WeeksPerYear*RatePerHour*(1+PracticeGrowth)^1643</f>
        <v>1.8767691659607316E+40</v>
      </c>
      <c r="C1645" s="4">
        <f>StudentsY1*(1+StudentGrowth)^1643*CreditsPerStudent*TuitionPerCredit</f>
        <v>1.1729807287254572E+41</v>
      </c>
      <c r="D1645" s="4">
        <f>SimRevY1*(1+SimGrowth)^1643</f>
        <v>5.0950883514805091E+72</v>
      </c>
      <c r="E1645" s="4">
        <f>FacDevRevY1*(1+FacDevGrowth)^1643</f>
        <v>2.5475441757402546E+72</v>
      </c>
      <c r="F1645" s="4">
        <f t="shared" si="100"/>
        <v>7.6426325272207637E+72</v>
      </c>
      <c r="G1645" s="4">
        <f t="shared" si="101"/>
        <v>7.6426325272207637E+72</v>
      </c>
      <c r="H1645" s="4">
        <f>SalaryFTECount*SalaryPerFTE*(1+SalaryGrowth)^1643</f>
        <v>2.0323371815190358E+33</v>
      </c>
      <c r="I1645" s="4">
        <f>SimOpsY1*(1+SimOpsGrowth)^1643</f>
        <v>2.4680361678458921E+59</v>
      </c>
      <c r="J1645" s="4">
        <f>TrainDevY1*(1+TrainDevGrowth)^1643</f>
        <v>1.234018083922946E+59</v>
      </c>
      <c r="K1645" s="4">
        <f>AdminY1*(1+AdminGrowth)^1643</f>
        <v>7.5607804235841872E+45</v>
      </c>
      <c r="L1645" s="4">
        <f t="shared" si="102"/>
        <v>3.7020542517689139E+59</v>
      </c>
      <c r="M1645" s="4">
        <f t="shared" si="103"/>
        <v>7.6426325272203933E+72</v>
      </c>
    </row>
    <row r="1646" spans="1:13" x14ac:dyDescent="0.2">
      <c r="A1646" s="3">
        <f>StartYear+1644</f>
        <v>3669</v>
      </c>
      <c r="B1646" s="4">
        <f>FacultyFTE*HoursPerWeek*WeeksPerYear*RatePerHour*(1+PracticeGrowth)^1644</f>
        <v>1.9706076242587679E+40</v>
      </c>
      <c r="C1646" s="4">
        <f>StudentsY1*(1+StudentGrowth)^1644*CreditsPerStudent*TuitionPerCredit</f>
        <v>1.23162976516173E+41</v>
      </c>
      <c r="D1646" s="4">
        <f>SimRevY1*(1+SimGrowth)^1644</f>
        <v>5.6045971866285605E+72</v>
      </c>
      <c r="E1646" s="4">
        <f>FacDevRevY1*(1+FacDevGrowth)^1644</f>
        <v>2.8022985933142802E+72</v>
      </c>
      <c r="F1646" s="4">
        <f t="shared" si="100"/>
        <v>8.4068957799428404E+72</v>
      </c>
      <c r="G1646" s="4">
        <f t="shared" si="101"/>
        <v>8.4068957799428404E+72</v>
      </c>
      <c r="H1646" s="4">
        <f>SalaryFTECount*SalaryPerFTE*(1+SalaryGrowth)^1644</f>
        <v>2.1136306687797979E+33</v>
      </c>
      <c r="I1646" s="4">
        <f>SimOpsY1*(1+SimOpsGrowth)^1644</f>
        <v>2.6654790612735638E+59</v>
      </c>
      <c r="J1646" s="4">
        <f>TrainDevY1*(1+TrainDevGrowth)^1644</f>
        <v>1.3327395306367819E+59</v>
      </c>
      <c r="K1646" s="4">
        <f>AdminY1*(1+AdminGrowth)^1644</f>
        <v>8.0144272489992364E+45</v>
      </c>
      <c r="L1646" s="4">
        <f t="shared" si="102"/>
        <v>3.998218591910426E+59</v>
      </c>
      <c r="M1646" s="4">
        <f t="shared" si="103"/>
        <v>8.4068957799424402E+72</v>
      </c>
    </row>
    <row r="1647" spans="1:13" x14ac:dyDescent="0.2">
      <c r="A1647" s="3">
        <f>StartYear+1645</f>
        <v>3670</v>
      </c>
      <c r="B1647" s="4">
        <f>FacultyFTE*HoursPerWeek*WeeksPerYear*RatePerHour*(1+PracticeGrowth)^1645</f>
        <v>2.0691380054717066E+40</v>
      </c>
      <c r="C1647" s="4">
        <f>StudentsY1*(1+StudentGrowth)^1645*CreditsPerStudent*TuitionPerCredit</f>
        <v>1.2932112534198166E+41</v>
      </c>
      <c r="D1647" s="4">
        <f>SimRevY1*(1+SimGrowth)^1645</f>
        <v>6.1650569052914176E+72</v>
      </c>
      <c r="E1647" s="4">
        <f>FacDevRevY1*(1+FacDevGrowth)^1645</f>
        <v>3.0825284526457088E+72</v>
      </c>
      <c r="F1647" s="4">
        <f t="shared" si="100"/>
        <v>9.2475853579371267E+72</v>
      </c>
      <c r="G1647" s="4">
        <f t="shared" si="101"/>
        <v>9.2475853579371267E+72</v>
      </c>
      <c r="H1647" s="4">
        <f>SalaryFTECount*SalaryPerFTE*(1+SalaryGrowth)^1645</f>
        <v>2.1981758955309896E+33</v>
      </c>
      <c r="I1647" s="4">
        <f>SimOpsY1*(1+SimOpsGrowth)^1645</f>
        <v>2.8787173861754486E+59</v>
      </c>
      <c r="J1647" s="4">
        <f>TrainDevY1*(1+TrainDevGrowth)^1645</f>
        <v>1.4393586930877243E+59</v>
      </c>
      <c r="K1647" s="4">
        <f>AdminY1*(1+AdminGrowth)^1645</f>
        <v>8.4952928839391933E+45</v>
      </c>
      <c r="L1647" s="4">
        <f t="shared" si="102"/>
        <v>4.3180760792632576E+59</v>
      </c>
      <c r="M1647" s="4">
        <f t="shared" si="103"/>
        <v>9.2475853579366952E+72</v>
      </c>
    </row>
    <row r="1648" spans="1:13" x14ac:dyDescent="0.2">
      <c r="A1648" s="3">
        <f>StartYear+1646</f>
        <v>3671</v>
      </c>
      <c r="B1648" s="4">
        <f>FacultyFTE*HoursPerWeek*WeeksPerYear*RatePerHour*(1+PracticeGrowth)^1646</f>
        <v>2.1725949057452914E+40</v>
      </c>
      <c r="C1648" s="4">
        <f>StudentsY1*(1+StudentGrowth)^1646*CreditsPerStudent*TuitionPerCredit</f>
        <v>1.3578718160908072E+41</v>
      </c>
      <c r="D1648" s="4">
        <f>SimRevY1*(1+SimGrowth)^1646</f>
        <v>6.78156259582056E+72</v>
      </c>
      <c r="E1648" s="4">
        <f>FacDevRevY1*(1+FacDevGrowth)^1646</f>
        <v>3.39078129791028E+72</v>
      </c>
      <c r="F1648" s="4">
        <f t="shared" si="100"/>
        <v>1.017234389373084E+73</v>
      </c>
      <c r="G1648" s="4">
        <f t="shared" si="101"/>
        <v>1.017234389373084E+73</v>
      </c>
      <c r="H1648" s="4">
        <f>SalaryFTECount*SalaryPerFTE*(1+SalaryGrowth)^1646</f>
        <v>2.2861029313522295E+33</v>
      </c>
      <c r="I1648" s="4">
        <f>SimOpsY1*(1+SimOpsGrowth)^1646</f>
        <v>3.1090147770694857E+59</v>
      </c>
      <c r="J1648" s="4">
        <f>TrainDevY1*(1+TrainDevGrowth)^1646</f>
        <v>1.5545073885347428E+59</v>
      </c>
      <c r="K1648" s="4">
        <f>AdminY1*(1+AdminGrowth)^1646</f>
        <v>9.005010456975543E+45</v>
      </c>
      <c r="L1648" s="4">
        <f t="shared" si="102"/>
        <v>4.6635221656043181E+59</v>
      </c>
      <c r="M1648" s="4">
        <f t="shared" si="103"/>
        <v>1.0172343893730374E+73</v>
      </c>
    </row>
    <row r="1649" spans="1:13" x14ac:dyDescent="0.2">
      <c r="A1649" s="3">
        <f>StartYear+1647</f>
        <v>3672</v>
      </c>
      <c r="B1649" s="4">
        <f>FacultyFTE*HoursPerWeek*WeeksPerYear*RatePerHour*(1+PracticeGrowth)^1647</f>
        <v>2.2812246510325569E+40</v>
      </c>
      <c r="C1649" s="4">
        <f>StudentsY1*(1+StudentGrowth)^1647*CreditsPerStudent*TuitionPerCredit</f>
        <v>1.425765406895348E+41</v>
      </c>
      <c r="D1649" s="4">
        <f>SimRevY1*(1+SimGrowth)^1647</f>
        <v>7.4597188554026157E+72</v>
      </c>
      <c r="E1649" s="4">
        <f>FacDevRevY1*(1+FacDevGrowth)^1647</f>
        <v>3.7298594277013079E+72</v>
      </c>
      <c r="F1649" s="4">
        <f t="shared" si="100"/>
        <v>1.1189578283103924E+73</v>
      </c>
      <c r="G1649" s="4">
        <f t="shared" si="101"/>
        <v>1.1189578283103924E+73</v>
      </c>
      <c r="H1649" s="4">
        <f>SalaryFTECount*SalaryPerFTE*(1+SalaryGrowth)^1647</f>
        <v>2.3775470486063188E+33</v>
      </c>
      <c r="I1649" s="4">
        <f>SimOpsY1*(1+SimOpsGrowth)^1647</f>
        <v>3.3577359592350445E+59</v>
      </c>
      <c r="J1649" s="4">
        <f>TrainDevY1*(1+TrainDevGrowth)^1647</f>
        <v>1.6788679796175222E+59</v>
      </c>
      <c r="K1649" s="4">
        <f>AdminY1*(1+AdminGrowth)^1647</f>
        <v>9.545311084394079E+45</v>
      </c>
      <c r="L1649" s="4">
        <f t="shared" si="102"/>
        <v>5.0366039388526619E+59</v>
      </c>
      <c r="M1649" s="4">
        <f t="shared" si="103"/>
        <v>1.1189578283103421E+73</v>
      </c>
    </row>
    <row r="1650" spans="1:13" x14ac:dyDescent="0.2">
      <c r="A1650" s="3">
        <f>StartYear+1648</f>
        <v>3673</v>
      </c>
      <c r="B1650" s="4">
        <f>FacultyFTE*HoursPerWeek*WeeksPerYear*RatePerHour*(1+PracticeGrowth)^1648</f>
        <v>2.3952858835841842E+40</v>
      </c>
      <c r="C1650" s="4">
        <f>StudentsY1*(1+StudentGrowth)^1648*CreditsPerStudent*TuitionPerCredit</f>
        <v>1.4970536772401153E+41</v>
      </c>
      <c r="D1650" s="4">
        <f>SimRevY1*(1+SimGrowth)^1648</f>
        <v>8.2056907409428778E+72</v>
      </c>
      <c r="E1650" s="4">
        <f>FacDevRevY1*(1+FacDevGrowth)^1648</f>
        <v>4.1028453704714389E+72</v>
      </c>
      <c r="F1650" s="4">
        <f t="shared" si="100"/>
        <v>1.2308536111414316E+73</v>
      </c>
      <c r="G1650" s="4">
        <f t="shared" si="101"/>
        <v>1.2308536111414316E+73</v>
      </c>
      <c r="H1650" s="4">
        <f>SalaryFTECount*SalaryPerFTE*(1+SalaryGrowth)^1648</f>
        <v>2.4726489305505717E+33</v>
      </c>
      <c r="I1650" s="4">
        <f>SimOpsY1*(1+SimOpsGrowth)^1648</f>
        <v>3.6263548359738474E+59</v>
      </c>
      <c r="J1650" s="4">
        <f>TrainDevY1*(1+TrainDevGrowth)^1648</f>
        <v>1.8131774179869237E+59</v>
      </c>
      <c r="K1650" s="4">
        <f>AdminY1*(1+AdminGrowth)^1648</f>
        <v>1.0118029749457721E+46</v>
      </c>
      <c r="L1650" s="4">
        <f t="shared" si="102"/>
        <v>5.4395322539608723E+59</v>
      </c>
      <c r="M1650" s="4">
        <f t="shared" si="103"/>
        <v>1.2308536111413771E+73</v>
      </c>
    </row>
    <row r="1651" spans="1:13" x14ac:dyDescent="0.2">
      <c r="A1651" s="3">
        <f>StartYear+1649</f>
        <v>3674</v>
      </c>
      <c r="B1651" s="4">
        <f>FacultyFTE*HoursPerWeek*WeeksPerYear*RatePerHour*(1+PracticeGrowth)^1649</f>
        <v>2.5150501777633938E+40</v>
      </c>
      <c r="C1651" s="4">
        <f>StudentsY1*(1+StudentGrowth)^1649*CreditsPerStudent*TuitionPerCredit</f>
        <v>1.5719063611021211E+41</v>
      </c>
      <c r="D1651" s="4">
        <f>SimRevY1*(1+SimGrowth)^1649</f>
        <v>9.0262598150371651E+72</v>
      </c>
      <c r="E1651" s="4">
        <f>FacDevRevY1*(1+FacDevGrowth)^1649</f>
        <v>4.5131299075185825E+72</v>
      </c>
      <c r="F1651" s="4">
        <f t="shared" si="100"/>
        <v>1.3539389722555748E+73</v>
      </c>
      <c r="G1651" s="4">
        <f t="shared" si="101"/>
        <v>1.3539389722555748E+73</v>
      </c>
      <c r="H1651" s="4">
        <f>SalaryFTECount*SalaryPerFTE*(1+SalaryGrowth)^1649</f>
        <v>2.5715548877725941E+33</v>
      </c>
      <c r="I1651" s="4">
        <f>SimOpsY1*(1+SimOpsGrowth)^1649</f>
        <v>3.9164632228517559E+59</v>
      </c>
      <c r="J1651" s="4">
        <f>TrainDevY1*(1+TrainDevGrowth)^1649</f>
        <v>1.958231611425878E+59</v>
      </c>
      <c r="K1651" s="4">
        <f>AdminY1*(1+AdminGrowth)^1649</f>
        <v>1.0725111534425185E+46</v>
      </c>
      <c r="L1651" s="4">
        <f t="shared" si="102"/>
        <v>5.8746948342777407E+59</v>
      </c>
      <c r="M1651" s="4">
        <f t="shared" si="103"/>
        <v>1.3539389722555161E+73</v>
      </c>
    </row>
    <row r="1652" spans="1:13" x14ac:dyDescent="0.2">
      <c r="A1652" s="3">
        <f>StartYear+1650</f>
        <v>3675</v>
      </c>
      <c r="B1652" s="4">
        <f>FacultyFTE*HoursPerWeek*WeeksPerYear*RatePerHour*(1+PracticeGrowth)^1650</f>
        <v>2.6408026866515636E+40</v>
      </c>
      <c r="C1652" s="4">
        <f>StudentsY1*(1+StudentGrowth)^1650*CreditsPerStudent*TuitionPerCredit</f>
        <v>1.6505016791572273E+41</v>
      </c>
      <c r="D1652" s="4">
        <f>SimRevY1*(1+SimGrowth)^1650</f>
        <v>9.9288857965408824E+72</v>
      </c>
      <c r="E1652" s="4">
        <f>FacDevRevY1*(1+FacDevGrowth)^1650</f>
        <v>4.9644428982704412E+72</v>
      </c>
      <c r="F1652" s="4">
        <f t="shared" si="100"/>
        <v>1.4893328694811322E+73</v>
      </c>
      <c r="G1652" s="4">
        <f t="shared" si="101"/>
        <v>1.4893328694811322E+73</v>
      </c>
      <c r="H1652" s="4">
        <f>SalaryFTECount*SalaryPerFTE*(1+SalaryGrowth)^1650</f>
        <v>2.6744170832834988E+33</v>
      </c>
      <c r="I1652" s="4">
        <f>SimOpsY1*(1+SimOpsGrowth)^1650</f>
        <v>4.2297802806798964E+59</v>
      </c>
      <c r="J1652" s="4">
        <f>TrainDevY1*(1+TrainDevGrowth)^1650</f>
        <v>2.1148901403399482E+59</v>
      </c>
      <c r="K1652" s="4">
        <f>AdminY1*(1+AdminGrowth)^1650</f>
        <v>1.1368618226490696E+46</v>
      </c>
      <c r="L1652" s="4">
        <f t="shared" si="102"/>
        <v>6.3446704210199578E+59</v>
      </c>
      <c r="M1652" s="4">
        <f t="shared" si="103"/>
        <v>1.4893328694810688E+73</v>
      </c>
    </row>
    <row r="1653" spans="1:13" x14ac:dyDescent="0.2">
      <c r="A1653" s="3">
        <f>StartYear+1651</f>
        <v>3676</v>
      </c>
      <c r="B1653" s="4">
        <f>FacultyFTE*HoursPerWeek*WeeksPerYear*RatePerHour*(1+PracticeGrowth)^1651</f>
        <v>2.7728428209841412E+40</v>
      </c>
      <c r="C1653" s="4">
        <f>StudentsY1*(1+StudentGrowth)^1651*CreditsPerStudent*TuitionPerCredit</f>
        <v>1.7330267631150882E+41</v>
      </c>
      <c r="D1653" s="4">
        <f>SimRevY1*(1+SimGrowth)^1651</f>
        <v>1.0921774376194971E+73</v>
      </c>
      <c r="E1653" s="4">
        <f>FacDevRevY1*(1+FacDevGrowth)^1651</f>
        <v>5.4608871880974853E+72</v>
      </c>
      <c r="F1653" s="4">
        <f t="shared" si="100"/>
        <v>1.6382661564292457E+73</v>
      </c>
      <c r="G1653" s="4">
        <f t="shared" si="101"/>
        <v>1.6382661564292457E+73</v>
      </c>
      <c r="H1653" s="4">
        <f>SalaryFTECount*SalaryPerFTE*(1+SalaryGrowth)^1651</f>
        <v>2.781393766614838E+33</v>
      </c>
      <c r="I1653" s="4">
        <f>SimOpsY1*(1+SimOpsGrowth)^1651</f>
        <v>4.5681627031342894E+59</v>
      </c>
      <c r="J1653" s="4">
        <f>TrainDevY1*(1+TrainDevGrowth)^1651</f>
        <v>2.2840813515671447E+59</v>
      </c>
      <c r="K1653" s="4">
        <f>AdminY1*(1+AdminGrowth)^1651</f>
        <v>1.2050735320080139E+46</v>
      </c>
      <c r="L1653" s="4">
        <f t="shared" si="102"/>
        <v>6.8522440547015546E+59</v>
      </c>
      <c r="M1653" s="4">
        <f t="shared" si="103"/>
        <v>1.6382661564291772E+73</v>
      </c>
    </row>
    <row r="1654" spans="1:13" x14ac:dyDescent="0.2">
      <c r="A1654" s="3">
        <f>StartYear+1652</f>
        <v>3677</v>
      </c>
      <c r="B1654" s="4">
        <f>FacultyFTE*HoursPerWeek*WeeksPerYear*RatePerHour*(1+PracticeGrowth)^1652</f>
        <v>2.9114849620333488E+40</v>
      </c>
      <c r="C1654" s="4">
        <f>StudentsY1*(1+StudentGrowth)^1652*CreditsPerStudent*TuitionPerCredit</f>
        <v>1.819678101270843E+41</v>
      </c>
      <c r="D1654" s="4">
        <f>SimRevY1*(1+SimGrowth)^1652</f>
        <v>1.2013951813814471E+73</v>
      </c>
      <c r="E1654" s="4">
        <f>FacDevRevY1*(1+FacDevGrowth)^1652</f>
        <v>6.0069759069072356E+72</v>
      </c>
      <c r="F1654" s="4">
        <f t="shared" si="100"/>
        <v>1.8020927720721706E+73</v>
      </c>
      <c r="G1654" s="4">
        <f t="shared" si="101"/>
        <v>1.8020927720721706E+73</v>
      </c>
      <c r="H1654" s="4">
        <f>SalaryFTECount*SalaryPerFTE*(1+SalaryGrowth)^1652</f>
        <v>2.8926495172794318E+33</v>
      </c>
      <c r="I1654" s="4">
        <f>SimOpsY1*(1+SimOpsGrowth)^1652</f>
        <v>4.9336157193850317E+59</v>
      </c>
      <c r="J1654" s="4">
        <f>TrainDevY1*(1+TrainDevGrowth)^1652</f>
        <v>2.4668078596925158E+59</v>
      </c>
      <c r="K1654" s="4">
        <f>AdminY1*(1+AdminGrowth)^1652</f>
        <v>1.2773779439284947E+46</v>
      </c>
      <c r="L1654" s="4">
        <f t="shared" si="102"/>
        <v>7.4004235790776751E+59</v>
      </c>
      <c r="M1654" s="4">
        <f t="shared" si="103"/>
        <v>1.8020927720720965E+73</v>
      </c>
    </row>
    <row r="1655" spans="1:13" x14ac:dyDescent="0.2">
      <c r="A1655" s="3">
        <f>StartYear+1653</f>
        <v>3678</v>
      </c>
      <c r="B1655" s="4">
        <f>FacultyFTE*HoursPerWeek*WeeksPerYear*RatePerHour*(1+PracticeGrowth)^1653</f>
        <v>3.0570592101350161E+40</v>
      </c>
      <c r="C1655" s="4">
        <f>StudentsY1*(1+StudentGrowth)^1653*CreditsPerStudent*TuitionPerCredit</f>
        <v>1.9106620063343852E+41</v>
      </c>
      <c r="D1655" s="4">
        <f>SimRevY1*(1+SimGrowth)^1653</f>
        <v>1.3215346995195918E+73</v>
      </c>
      <c r="E1655" s="4">
        <f>FacDevRevY1*(1+FacDevGrowth)^1653</f>
        <v>6.6076734975979588E+72</v>
      </c>
      <c r="F1655" s="4">
        <f t="shared" si="100"/>
        <v>1.9823020492793875E+73</v>
      </c>
      <c r="G1655" s="4">
        <f t="shared" si="101"/>
        <v>1.9823020492793875E+73</v>
      </c>
      <c r="H1655" s="4">
        <f>SalaryFTECount*SalaryPerFTE*(1+SalaryGrowth)^1653</f>
        <v>3.00835549797061E+33</v>
      </c>
      <c r="I1655" s="4">
        <f>SimOpsY1*(1+SimOpsGrowth)^1653</f>
        <v>5.3283049769358338E+59</v>
      </c>
      <c r="J1655" s="4">
        <f>TrainDevY1*(1+TrainDevGrowth)^1653</f>
        <v>2.6641524884679169E+59</v>
      </c>
      <c r="K1655" s="4">
        <f>AdminY1*(1+AdminGrowth)^1653</f>
        <v>1.3540206205642049E+46</v>
      </c>
      <c r="L1655" s="4">
        <f t="shared" si="102"/>
        <v>7.9924574654038858E+59</v>
      </c>
      <c r="M1655" s="4">
        <f t="shared" si="103"/>
        <v>1.9823020492793075E+73</v>
      </c>
    </row>
    <row r="1656" spans="1:13" x14ac:dyDescent="0.2">
      <c r="A1656" s="3">
        <f>StartYear+1654</f>
        <v>3679</v>
      </c>
      <c r="B1656" s="4">
        <f>FacultyFTE*HoursPerWeek*WeeksPerYear*RatePerHour*(1+PracticeGrowth)^1654</f>
        <v>3.2099121706417666E+40</v>
      </c>
      <c r="C1656" s="4">
        <f>StudentsY1*(1+StudentGrowth)^1654*CreditsPerStudent*TuitionPerCredit</f>
        <v>2.006195106651104E+41</v>
      </c>
      <c r="D1656" s="4">
        <f>SimRevY1*(1+SimGrowth)^1654</f>
        <v>1.4536881694715511E+73</v>
      </c>
      <c r="E1656" s="4">
        <f>FacDevRevY1*(1+FacDevGrowth)^1654</f>
        <v>7.2684408473577555E+72</v>
      </c>
      <c r="F1656" s="4">
        <f t="shared" si="100"/>
        <v>2.1805322542073265E+73</v>
      </c>
      <c r="G1656" s="4">
        <f t="shared" si="101"/>
        <v>2.1805322542073265E+73</v>
      </c>
      <c r="H1656" s="4">
        <f>SalaryFTECount*SalaryPerFTE*(1+SalaryGrowth)^1654</f>
        <v>3.128689717889434E+33</v>
      </c>
      <c r="I1656" s="4">
        <f>SimOpsY1*(1+SimOpsGrowth)^1654</f>
        <v>5.7545693750907017E+59</v>
      </c>
      <c r="J1656" s="4">
        <f>TrainDevY1*(1+TrainDevGrowth)^1654</f>
        <v>2.8772846875453508E+59</v>
      </c>
      <c r="K1656" s="4">
        <f>AdminY1*(1+AdminGrowth)^1654</f>
        <v>1.435261857798057E+46</v>
      </c>
      <c r="L1656" s="4">
        <f t="shared" si="102"/>
        <v>8.6318540626361961E+59</v>
      </c>
      <c r="M1656" s="4">
        <f t="shared" si="103"/>
        <v>2.1805322542072402E+73</v>
      </c>
    </row>
    <row r="1657" spans="1:13" x14ac:dyDescent="0.2">
      <c r="A1657" s="3">
        <f>StartYear+1655</f>
        <v>3680</v>
      </c>
      <c r="B1657" s="4">
        <f>FacultyFTE*HoursPerWeek*WeeksPerYear*RatePerHour*(1+PracticeGrowth)^1655</f>
        <v>3.3704077791738557E+40</v>
      </c>
      <c r="C1657" s="4">
        <f>StudentsY1*(1+StudentGrowth)^1655*CreditsPerStudent*TuitionPerCredit</f>
        <v>2.1065048619836598E+41</v>
      </c>
      <c r="D1657" s="4">
        <f>SimRevY1*(1+SimGrowth)^1655</f>
        <v>1.5990569864187065E+73</v>
      </c>
      <c r="E1657" s="4">
        <f>FacDevRevY1*(1+FacDevGrowth)^1655</f>
        <v>7.9952849320935327E+72</v>
      </c>
      <c r="F1657" s="4">
        <f t="shared" si="100"/>
        <v>2.3985854796280598E+73</v>
      </c>
      <c r="G1657" s="4">
        <f t="shared" si="101"/>
        <v>2.3985854796280598E+73</v>
      </c>
      <c r="H1657" s="4">
        <f>SalaryFTECount*SalaryPerFTE*(1+SalaryGrowth)^1655</f>
        <v>3.2538373066050113E+33</v>
      </c>
      <c r="I1657" s="4">
        <f>SimOpsY1*(1+SimOpsGrowth)^1655</f>
        <v>6.2149349250979585E+59</v>
      </c>
      <c r="J1657" s="4">
        <f>TrainDevY1*(1+TrainDevGrowth)^1655</f>
        <v>3.1074674625489792E+59</v>
      </c>
      <c r="K1657" s="4">
        <f>AdminY1*(1+AdminGrowth)^1655</f>
        <v>1.5213775692659407E+46</v>
      </c>
      <c r="L1657" s="4">
        <f t="shared" si="102"/>
        <v>9.3224023876470898E+59</v>
      </c>
      <c r="M1657" s="4">
        <f t="shared" si="103"/>
        <v>2.3985854796279666E+73</v>
      </c>
    </row>
    <row r="1658" spans="1:13" x14ac:dyDescent="0.2">
      <c r="A1658" s="3">
        <f>StartYear+1656</f>
        <v>3681</v>
      </c>
      <c r="B1658" s="4">
        <f>FacultyFTE*HoursPerWeek*WeeksPerYear*RatePerHour*(1+PracticeGrowth)^1656</f>
        <v>3.5389281681325485E+40</v>
      </c>
      <c r="C1658" s="4">
        <f>StudentsY1*(1+StudentGrowth)^1656*CreditsPerStudent*TuitionPerCredit</f>
        <v>2.2118301050828431E+41</v>
      </c>
      <c r="D1658" s="4">
        <f>SimRevY1*(1+SimGrowth)^1656</f>
        <v>1.7589626850605768E+73</v>
      </c>
      <c r="E1658" s="4">
        <f>FacDevRevY1*(1+FacDevGrowth)^1656</f>
        <v>8.7948134253028838E+72</v>
      </c>
      <c r="F1658" s="4">
        <f t="shared" si="100"/>
        <v>2.6384440275908651E+73</v>
      </c>
      <c r="G1658" s="4">
        <f t="shared" si="101"/>
        <v>2.6384440275908651E+73</v>
      </c>
      <c r="H1658" s="4">
        <f>SalaryFTECount*SalaryPerFTE*(1+SalaryGrowth)^1656</f>
        <v>3.3839907988692116E+33</v>
      </c>
      <c r="I1658" s="4">
        <f>SimOpsY1*(1+SimOpsGrowth)^1656</f>
        <v>6.712129719105795E+59</v>
      </c>
      <c r="J1658" s="4">
        <f>TrainDevY1*(1+TrainDevGrowth)^1656</f>
        <v>3.3560648595528975E+59</v>
      </c>
      <c r="K1658" s="4">
        <f>AdminY1*(1+AdminGrowth)^1656</f>
        <v>1.6126602234218967E+46</v>
      </c>
      <c r="L1658" s="4">
        <f t="shared" si="102"/>
        <v>1.0068194578658853E+60</v>
      </c>
      <c r="M1658" s="4">
        <f t="shared" si="103"/>
        <v>2.6384440275907644E+73</v>
      </c>
    </row>
    <row r="1659" spans="1:13" x14ac:dyDescent="0.2">
      <c r="A1659" s="3">
        <f>StartYear+1657</f>
        <v>3682</v>
      </c>
      <c r="B1659" s="4">
        <f>FacultyFTE*HoursPerWeek*WeeksPerYear*RatePerHour*(1+PracticeGrowth)^1657</f>
        <v>3.7158745765391756E+40</v>
      </c>
      <c r="C1659" s="4">
        <f>StudentsY1*(1+StudentGrowth)^1657*CreditsPerStudent*TuitionPerCredit</f>
        <v>2.3224216103369848E+41</v>
      </c>
      <c r="D1659" s="4">
        <f>SimRevY1*(1+SimGrowth)^1657</f>
        <v>1.9348589535666348E+73</v>
      </c>
      <c r="E1659" s="4">
        <f>FacDevRevY1*(1+FacDevGrowth)^1657</f>
        <v>9.6742947678331741E+72</v>
      </c>
      <c r="F1659" s="4">
        <f t="shared" si="100"/>
        <v>2.9022884303499519E+73</v>
      </c>
      <c r="G1659" s="4">
        <f t="shared" si="101"/>
        <v>2.9022884303499519E+73</v>
      </c>
      <c r="H1659" s="4">
        <f>SalaryFTECount*SalaryPerFTE*(1+SalaryGrowth)^1657</f>
        <v>3.5193504308239816E+33</v>
      </c>
      <c r="I1659" s="4">
        <f>SimOpsY1*(1+SimOpsGrowth)^1657</f>
        <v>7.2491000966342598E+59</v>
      </c>
      <c r="J1659" s="4">
        <f>TrainDevY1*(1+TrainDevGrowth)^1657</f>
        <v>3.6245500483171299E+59</v>
      </c>
      <c r="K1659" s="4">
        <f>AdminY1*(1+AdminGrowth)^1657</f>
        <v>1.7094198368272105E+46</v>
      </c>
      <c r="L1659" s="4">
        <f t="shared" si="102"/>
        <v>1.0873650144951561E+60</v>
      </c>
      <c r="M1659" s="4">
        <f t="shared" si="103"/>
        <v>2.9022884303498433E+73</v>
      </c>
    </row>
    <row r="1660" spans="1:13" x14ac:dyDescent="0.2">
      <c r="A1660" s="3">
        <f>StartYear+1658</f>
        <v>3683</v>
      </c>
      <c r="B1660" s="4">
        <f>FacultyFTE*HoursPerWeek*WeeksPerYear*RatePerHour*(1+PracticeGrowth)^1658</f>
        <v>3.9016683053661348E+40</v>
      </c>
      <c r="C1660" s="4">
        <f>StudentsY1*(1+StudentGrowth)^1658*CreditsPerStudent*TuitionPerCredit</f>
        <v>2.4385426908538339E+41</v>
      </c>
      <c r="D1660" s="4">
        <f>SimRevY1*(1+SimGrowth)^1658</f>
        <v>2.1283448489232985E+73</v>
      </c>
      <c r="E1660" s="4">
        <f>FacDevRevY1*(1+FacDevGrowth)^1658</f>
        <v>1.0641724244616492E+73</v>
      </c>
      <c r="F1660" s="4">
        <f t="shared" si="100"/>
        <v>3.1925172733849477E+73</v>
      </c>
      <c r="G1660" s="4">
        <f t="shared" si="101"/>
        <v>3.1925172733849477E+73</v>
      </c>
      <c r="H1660" s="4">
        <f>SalaryFTECount*SalaryPerFTE*(1+SalaryGrowth)^1658</f>
        <v>3.6601244480569397E+33</v>
      </c>
      <c r="I1660" s="4">
        <f>SimOpsY1*(1+SimOpsGrowth)^1658</f>
        <v>7.8290281043650004E+59</v>
      </c>
      <c r="J1660" s="4">
        <f>TrainDevY1*(1+TrainDevGrowth)^1658</f>
        <v>3.9145140521825002E+59</v>
      </c>
      <c r="K1660" s="4">
        <f>AdminY1*(1+AdminGrowth)^1658</f>
        <v>1.8119850270368434E+46</v>
      </c>
      <c r="L1660" s="4">
        <f t="shared" si="102"/>
        <v>1.1743542156547682E+60</v>
      </c>
      <c r="M1660" s="4">
        <f t="shared" si="103"/>
        <v>3.1925172733848303E+73</v>
      </c>
    </row>
    <row r="1661" spans="1:13" x14ac:dyDescent="0.2">
      <c r="A1661" s="3">
        <f>StartYear+1659</f>
        <v>3684</v>
      </c>
      <c r="B1661" s="4">
        <f>FacultyFTE*HoursPerWeek*WeeksPerYear*RatePerHour*(1+PracticeGrowth)^1659</f>
        <v>4.0967517206344417E+40</v>
      </c>
      <c r="C1661" s="4">
        <f>StudentsY1*(1+StudentGrowth)^1659*CreditsPerStudent*TuitionPerCredit</f>
        <v>2.5604698253965257E+41</v>
      </c>
      <c r="D1661" s="4">
        <f>SimRevY1*(1+SimGrowth)^1659</f>
        <v>2.3411793338156288E+73</v>
      </c>
      <c r="E1661" s="4">
        <f>FacDevRevY1*(1+FacDevGrowth)^1659</f>
        <v>1.1705896669078144E+73</v>
      </c>
      <c r="F1661" s="4">
        <f t="shared" si="100"/>
        <v>3.511769000723443E+73</v>
      </c>
      <c r="G1661" s="4">
        <f t="shared" si="101"/>
        <v>3.511769000723443E+73</v>
      </c>
      <c r="H1661" s="4">
        <f>SalaryFTECount*SalaryPerFTE*(1+SalaryGrowth)^1659</f>
        <v>3.8065294259792173E+33</v>
      </c>
      <c r="I1661" s="4">
        <f>SimOpsY1*(1+SimOpsGrowth)^1659</f>
        <v>8.4553503527142008E+59</v>
      </c>
      <c r="J1661" s="4">
        <f>TrainDevY1*(1+TrainDevGrowth)^1659</f>
        <v>4.2276751763571004E+59</v>
      </c>
      <c r="K1661" s="4">
        <f>AdminY1*(1+AdminGrowth)^1659</f>
        <v>1.9207041286590544E+46</v>
      </c>
      <c r="L1661" s="4">
        <f t="shared" si="102"/>
        <v>1.2683025529071494E+60</v>
      </c>
      <c r="M1661" s="4">
        <f t="shared" si="103"/>
        <v>3.5117690007233162E+73</v>
      </c>
    </row>
    <row r="1662" spans="1:13" x14ac:dyDescent="0.2">
      <c r="A1662" s="3">
        <f>StartYear+1660</f>
        <v>3685</v>
      </c>
      <c r="B1662" s="4">
        <f>FacultyFTE*HoursPerWeek*WeeksPerYear*RatePerHour*(1+PracticeGrowth)^1660</f>
        <v>4.3015893066661636E+40</v>
      </c>
      <c r="C1662" s="4">
        <f>StudentsY1*(1+StudentGrowth)^1660*CreditsPerStudent*TuitionPerCredit</f>
        <v>2.6884933166663522E+41</v>
      </c>
      <c r="D1662" s="4">
        <f>SimRevY1*(1+SimGrowth)^1660</f>
        <v>2.5752972671971912E+73</v>
      </c>
      <c r="E1662" s="4">
        <f>FacDevRevY1*(1+FacDevGrowth)^1660</f>
        <v>1.2876486335985956E+73</v>
      </c>
      <c r="F1662" s="4">
        <f t="shared" si="100"/>
        <v>3.8629459007957866E+73</v>
      </c>
      <c r="G1662" s="4">
        <f t="shared" si="101"/>
        <v>3.8629459007957866E+73</v>
      </c>
      <c r="H1662" s="4">
        <f>SalaryFTECount*SalaryPerFTE*(1+SalaryGrowth)^1660</f>
        <v>3.9587906030183873E+33</v>
      </c>
      <c r="I1662" s="4">
        <f>SimOpsY1*(1+SimOpsGrowth)^1660</f>
        <v>9.1317783809313356E+59</v>
      </c>
      <c r="J1662" s="4">
        <f>TrainDevY1*(1+TrainDevGrowth)^1660</f>
        <v>4.5658891904656678E+59</v>
      </c>
      <c r="K1662" s="4">
        <f>AdminY1*(1+AdminGrowth)^1660</f>
        <v>2.0359463763785975E+46</v>
      </c>
      <c r="L1662" s="4">
        <f t="shared" si="102"/>
        <v>1.3697667571397207E+60</v>
      </c>
      <c r="M1662" s="4">
        <f t="shared" si="103"/>
        <v>3.8629459007956497E+73</v>
      </c>
    </row>
    <row r="1663" spans="1:13" x14ac:dyDescent="0.2">
      <c r="A1663" s="3">
        <f>StartYear+1661</f>
        <v>3686</v>
      </c>
      <c r="B1663" s="4">
        <f>FacultyFTE*HoursPerWeek*WeeksPerYear*RatePerHour*(1+PracticeGrowth)^1661</f>
        <v>4.5166687719994718E+40</v>
      </c>
      <c r="C1663" s="4">
        <f>StudentsY1*(1+StudentGrowth)^1661*CreditsPerStudent*TuitionPerCredit</f>
        <v>2.8229179824996698E+41</v>
      </c>
      <c r="D1663" s="4">
        <f>SimRevY1*(1+SimGrowth)^1661</f>
        <v>2.8328269939169107E+73</v>
      </c>
      <c r="E1663" s="4">
        <f>FacDevRevY1*(1+FacDevGrowth)^1661</f>
        <v>1.4164134969584553E+73</v>
      </c>
      <c r="F1663" s="4">
        <f t="shared" si="100"/>
        <v>4.2492404908753657E+73</v>
      </c>
      <c r="G1663" s="4">
        <f t="shared" si="101"/>
        <v>4.2492404908753657E+73</v>
      </c>
      <c r="H1663" s="4">
        <f>SalaryFTECount*SalaryPerFTE*(1+SalaryGrowth)^1661</f>
        <v>4.1171422271391233E+33</v>
      </c>
      <c r="I1663" s="4">
        <f>SimOpsY1*(1+SimOpsGrowth)^1661</f>
        <v>9.8623206514058449E+59</v>
      </c>
      <c r="J1663" s="4">
        <f>TrainDevY1*(1+TrainDevGrowth)^1661</f>
        <v>4.9311603257029224E+59</v>
      </c>
      <c r="K1663" s="4">
        <f>AdminY1*(1+AdminGrowth)^1661</f>
        <v>2.1581031589613139E+46</v>
      </c>
      <c r="L1663" s="4">
        <f t="shared" si="102"/>
        <v>1.4793480977108983E+60</v>
      </c>
      <c r="M1663" s="4">
        <f t="shared" si="103"/>
        <v>4.2492404908752176E+73</v>
      </c>
    </row>
    <row r="1664" spans="1:13" x14ac:dyDescent="0.2">
      <c r="A1664" s="3">
        <f>StartYear+1662</f>
        <v>3687</v>
      </c>
      <c r="B1664" s="4">
        <f>FacultyFTE*HoursPerWeek*WeeksPerYear*RatePerHour*(1+PracticeGrowth)^1662</f>
        <v>4.7425022105994431E+40</v>
      </c>
      <c r="C1664" s="4">
        <f>StudentsY1*(1+StudentGrowth)^1662*CreditsPerStudent*TuitionPerCredit</f>
        <v>2.9640638816246521E+41</v>
      </c>
      <c r="D1664" s="4">
        <f>SimRevY1*(1+SimGrowth)^1662</f>
        <v>3.1161096933086029E+73</v>
      </c>
      <c r="E1664" s="4">
        <f>FacDevRevY1*(1+FacDevGrowth)^1662</f>
        <v>1.5580548466543015E+73</v>
      </c>
      <c r="F1664" s="4">
        <f t="shared" si="100"/>
        <v>4.6741645399629044E+73</v>
      </c>
      <c r="G1664" s="4">
        <f t="shared" si="101"/>
        <v>4.6741645399629044E+73</v>
      </c>
      <c r="H1664" s="4">
        <f>SalaryFTECount*SalaryPerFTE*(1+SalaryGrowth)^1662</f>
        <v>4.2818279162246871E+33</v>
      </c>
      <c r="I1664" s="4">
        <f>SimOpsY1*(1+SimOpsGrowth)^1662</f>
        <v>1.0651306303518312E+60</v>
      </c>
      <c r="J1664" s="4">
        <f>TrainDevY1*(1+TrainDevGrowth)^1662</f>
        <v>5.3256531517591562E+59</v>
      </c>
      <c r="K1664" s="4">
        <f>AdminY1*(1+AdminGrowth)^1662</f>
        <v>2.2875893484989927E+46</v>
      </c>
      <c r="L1664" s="4">
        <f t="shared" si="102"/>
        <v>1.5976959455277697E+60</v>
      </c>
      <c r="M1664" s="4">
        <f t="shared" si="103"/>
        <v>4.6741645399627443E+73</v>
      </c>
    </row>
    <row r="1665" spans="1:13" x14ac:dyDescent="0.2">
      <c r="A1665" s="3">
        <f>StartYear+1663</f>
        <v>3688</v>
      </c>
      <c r="B1665" s="4">
        <f>FacultyFTE*HoursPerWeek*WeeksPerYear*RatePerHour*(1+PracticeGrowth)^1663</f>
        <v>4.9796273211294187E+40</v>
      </c>
      <c r="C1665" s="4">
        <f>StudentsY1*(1+StudentGrowth)^1663*CreditsPerStudent*TuitionPerCredit</f>
        <v>3.1122670757058865E+41</v>
      </c>
      <c r="D1665" s="4">
        <f>SimRevY1*(1+SimGrowth)^1663</f>
        <v>3.4277206626394625E+73</v>
      </c>
      <c r="E1665" s="4">
        <f>FacDevRevY1*(1+FacDevGrowth)^1663</f>
        <v>1.7138603313197312E+73</v>
      </c>
      <c r="F1665" s="4">
        <f t="shared" si="100"/>
        <v>5.141580993959194E+73</v>
      </c>
      <c r="G1665" s="4">
        <f t="shared" si="101"/>
        <v>5.141580993959194E+73</v>
      </c>
      <c r="H1665" s="4">
        <f>SalaryFTECount*SalaryPerFTE*(1+SalaryGrowth)^1663</f>
        <v>4.4531010328736742E+33</v>
      </c>
      <c r="I1665" s="4">
        <f>SimOpsY1*(1+SimOpsGrowth)^1663</f>
        <v>1.150341080779978E+60</v>
      </c>
      <c r="J1665" s="4">
        <f>TrainDevY1*(1+TrainDevGrowth)^1663</f>
        <v>5.75170540389989E+59</v>
      </c>
      <c r="K1665" s="4">
        <f>AdminY1*(1+AdminGrowth)^1663</f>
        <v>2.4248447094089327E+46</v>
      </c>
      <c r="L1665" s="4">
        <f t="shared" si="102"/>
        <v>1.7255116211699911E+60</v>
      </c>
      <c r="M1665" s="4">
        <f t="shared" si="103"/>
        <v>5.1415809939590214E+73</v>
      </c>
    </row>
    <row r="1666" spans="1:13" x14ac:dyDescent="0.2">
      <c r="A1666" s="3">
        <f>StartYear+1664</f>
        <v>3689</v>
      </c>
      <c r="B1666" s="4">
        <f>FacultyFTE*HoursPerWeek*WeeksPerYear*RatePerHour*(1+PracticeGrowth)^1664</f>
        <v>5.2286086871858891E+40</v>
      </c>
      <c r="C1666" s="4">
        <f>StudentsY1*(1+StudentGrowth)^1664*CreditsPerStudent*TuitionPerCredit</f>
        <v>3.2678804294911808E+41</v>
      </c>
      <c r="D1666" s="4">
        <f>SimRevY1*(1+SimGrowth)^1664</f>
        <v>3.7704927289034089E+73</v>
      </c>
      <c r="E1666" s="4">
        <f>FacDevRevY1*(1+FacDevGrowth)^1664</f>
        <v>1.8852463644517045E+73</v>
      </c>
      <c r="F1666" s="4">
        <f t="shared" ref="F1666:F1729" si="104">C1666+D1666+E1666</f>
        <v>5.6557390933551131E+73</v>
      </c>
      <c r="G1666" s="4">
        <f t="shared" ref="G1666:G1729" si="105">B1666+F1666</f>
        <v>5.6557390933551131E+73</v>
      </c>
      <c r="H1666" s="4">
        <f>SalaryFTECount*SalaryPerFTE*(1+SalaryGrowth)^1664</f>
        <v>4.6312250741886228E+33</v>
      </c>
      <c r="I1666" s="4">
        <f>SimOpsY1*(1+SimOpsGrowth)^1664</f>
        <v>1.2423683672423765E+60</v>
      </c>
      <c r="J1666" s="4">
        <f>TrainDevY1*(1+TrainDevGrowth)^1664</f>
        <v>6.2118418362118823E+59</v>
      </c>
      <c r="K1666" s="4">
        <f>AdminY1*(1+AdminGrowth)^1664</f>
        <v>2.5703353919734678E+46</v>
      </c>
      <c r="L1666" s="4">
        <f t="shared" ref="L1666:L1729" si="106">SUM(H1666:K1666)</f>
        <v>1.8635525508635906E+60</v>
      </c>
      <c r="M1666" s="4">
        <f t="shared" ref="M1666:M1729" si="107">G1666-L1666</f>
        <v>5.6557390933549273E+73</v>
      </c>
    </row>
    <row r="1667" spans="1:13" x14ac:dyDescent="0.2">
      <c r="A1667" s="3">
        <f>StartYear+1665</f>
        <v>3690</v>
      </c>
      <c r="B1667" s="4">
        <f>FacultyFTE*HoursPerWeek*WeeksPerYear*RatePerHour*(1+PracticeGrowth)^1665</f>
        <v>5.4900391215451839E+40</v>
      </c>
      <c r="C1667" s="4">
        <f>StudentsY1*(1+StudentGrowth)^1665*CreditsPerStudent*TuitionPerCredit</f>
        <v>3.4312744509657396E+41</v>
      </c>
      <c r="D1667" s="4">
        <f>SimRevY1*(1+SimGrowth)^1665</f>
        <v>4.14754200179375E+73</v>
      </c>
      <c r="E1667" s="4">
        <f>FacDevRevY1*(1+FacDevGrowth)^1665</f>
        <v>2.073771000896875E+73</v>
      </c>
      <c r="F1667" s="4">
        <f t="shared" si="104"/>
        <v>6.2213130026906256E+73</v>
      </c>
      <c r="G1667" s="4">
        <f t="shared" si="105"/>
        <v>6.2213130026906256E+73</v>
      </c>
      <c r="H1667" s="4">
        <f>SalaryFTECount*SalaryPerFTE*(1+SalaryGrowth)^1665</f>
        <v>4.8164740771561686E+33</v>
      </c>
      <c r="I1667" s="4">
        <f>SimOpsY1*(1+SimOpsGrowth)^1665</f>
        <v>1.3417578366217667E+60</v>
      </c>
      <c r="J1667" s="4">
        <f>TrainDevY1*(1+TrainDevGrowth)^1665</f>
        <v>6.7087891831088336E+59</v>
      </c>
      <c r="K1667" s="4">
        <f>AdminY1*(1+AdminGrowth)^1665</f>
        <v>2.7245555154918763E+46</v>
      </c>
      <c r="L1667" s="4">
        <f t="shared" si="106"/>
        <v>2.0126367549326774E+60</v>
      </c>
      <c r="M1667" s="4">
        <f t="shared" si="107"/>
        <v>6.2213130026904248E+73</v>
      </c>
    </row>
    <row r="1668" spans="1:13" x14ac:dyDescent="0.2">
      <c r="A1668" s="3">
        <f>StartYear+1666</f>
        <v>3691</v>
      </c>
      <c r="B1668" s="4">
        <f>FacultyFTE*HoursPerWeek*WeeksPerYear*RatePerHour*(1+PracticeGrowth)^1666</f>
        <v>5.7645410776224427E+40</v>
      </c>
      <c r="C1668" s="4">
        <f>StudentsY1*(1+StudentGrowth)^1666*CreditsPerStudent*TuitionPerCredit</f>
        <v>3.6028381735140269E+41</v>
      </c>
      <c r="D1668" s="4">
        <f>SimRevY1*(1+SimGrowth)^1666</f>
        <v>4.5622962019731249E+73</v>
      </c>
      <c r="E1668" s="4">
        <f>FacDevRevY1*(1+FacDevGrowth)^1666</f>
        <v>2.2811481009865624E+73</v>
      </c>
      <c r="F1668" s="4">
        <f t="shared" si="104"/>
        <v>6.8434443029596867E+73</v>
      </c>
      <c r="G1668" s="4">
        <f t="shared" si="105"/>
        <v>6.8434443029596867E+73</v>
      </c>
      <c r="H1668" s="4">
        <f>SalaryFTECount*SalaryPerFTE*(1+SalaryGrowth)^1666</f>
        <v>5.0091330402424152E+33</v>
      </c>
      <c r="I1668" s="4">
        <f>SimOpsY1*(1+SimOpsGrowth)^1666</f>
        <v>1.4490984635515078E+60</v>
      </c>
      <c r="J1668" s="4">
        <f>TrainDevY1*(1+TrainDevGrowth)^1666</f>
        <v>7.2454923177575389E+59</v>
      </c>
      <c r="K1668" s="4">
        <f>AdminY1*(1+AdminGrowth)^1666</f>
        <v>2.8880288464213892E+46</v>
      </c>
      <c r="L1668" s="4">
        <f t="shared" si="106"/>
        <v>2.1736476953272905E+60</v>
      </c>
      <c r="M1668" s="4">
        <f t="shared" si="107"/>
        <v>6.8434443029594695E+73</v>
      </c>
    </row>
    <row r="1669" spans="1:13" x14ac:dyDescent="0.2">
      <c r="A1669" s="3">
        <f>StartYear+1667</f>
        <v>3692</v>
      </c>
      <c r="B1669" s="4">
        <f>FacultyFTE*HoursPerWeek*WeeksPerYear*RatePerHour*(1+PracticeGrowth)^1667</f>
        <v>6.0527681315035654E+40</v>
      </c>
      <c r="C1669" s="4">
        <f>StudentsY1*(1+StudentGrowth)^1667*CreditsPerStudent*TuitionPerCredit</f>
        <v>3.7829800821897285E+41</v>
      </c>
      <c r="D1669" s="4">
        <f>SimRevY1*(1+SimGrowth)^1667</f>
        <v>5.0185258221704396E+73</v>
      </c>
      <c r="E1669" s="4">
        <f>FacDevRevY1*(1+FacDevGrowth)^1667</f>
        <v>2.5092629110852198E+73</v>
      </c>
      <c r="F1669" s="4">
        <f t="shared" si="104"/>
        <v>7.5277887332556591E+73</v>
      </c>
      <c r="G1669" s="4">
        <f t="shared" si="105"/>
        <v>7.5277887332556591E+73</v>
      </c>
      <c r="H1669" s="4">
        <f>SalaryFTECount*SalaryPerFTE*(1+SalaryGrowth)^1667</f>
        <v>5.2094983618521119E+33</v>
      </c>
      <c r="I1669" s="4">
        <f>SimOpsY1*(1+SimOpsGrowth)^1667</f>
        <v>1.5650263406356285E+60</v>
      </c>
      <c r="J1669" s="4">
        <f>TrainDevY1*(1+TrainDevGrowth)^1667</f>
        <v>7.8251317031781424E+59</v>
      </c>
      <c r="K1669" s="4">
        <f>AdminY1*(1+AdminGrowth)^1667</f>
        <v>3.0613105772066727E+46</v>
      </c>
      <c r="L1669" s="4">
        <f t="shared" si="106"/>
        <v>2.3475395109534735E+60</v>
      </c>
      <c r="M1669" s="4">
        <f t="shared" si="107"/>
        <v>7.5277887332554244E+73</v>
      </c>
    </row>
    <row r="1670" spans="1:13" x14ac:dyDescent="0.2">
      <c r="A1670" s="3">
        <f>StartYear+1668</f>
        <v>3693</v>
      </c>
      <c r="B1670" s="4">
        <f>FacultyFTE*HoursPerWeek*WeeksPerYear*RatePerHour*(1+PracticeGrowth)^1668</f>
        <v>6.3554065380787434E+40</v>
      </c>
      <c r="C1670" s="4">
        <f>StudentsY1*(1+StudentGrowth)^1668*CreditsPerStudent*TuitionPerCredit</f>
        <v>3.9721290862992151E+41</v>
      </c>
      <c r="D1670" s="4">
        <f>SimRevY1*(1+SimGrowth)^1668</f>
        <v>5.5203784043874819E+73</v>
      </c>
      <c r="E1670" s="4">
        <f>FacDevRevY1*(1+FacDevGrowth)^1668</f>
        <v>2.7601892021937409E+73</v>
      </c>
      <c r="F1670" s="4">
        <f t="shared" si="104"/>
        <v>8.2805676065812225E+73</v>
      </c>
      <c r="G1670" s="4">
        <f t="shared" si="105"/>
        <v>8.2805676065812225E+73</v>
      </c>
      <c r="H1670" s="4">
        <f>SalaryFTECount*SalaryPerFTE*(1+SalaryGrowth)^1668</f>
        <v>5.4178782963261969E+33</v>
      </c>
      <c r="I1670" s="4">
        <f>SimOpsY1*(1+SimOpsGrowth)^1668</f>
        <v>1.6902284478864789E+60</v>
      </c>
      <c r="J1670" s="4">
        <f>TrainDevY1*(1+TrainDevGrowth)^1668</f>
        <v>8.4511422394323946E+59</v>
      </c>
      <c r="K1670" s="4">
        <f>AdminY1*(1+AdminGrowth)^1668</f>
        <v>3.2449892118390725E+46</v>
      </c>
      <c r="L1670" s="4">
        <f t="shared" si="106"/>
        <v>2.5353426718297508E+60</v>
      </c>
      <c r="M1670" s="4">
        <f t="shared" si="107"/>
        <v>8.2805676065809689E+73</v>
      </c>
    </row>
    <row r="1671" spans="1:13" x14ac:dyDescent="0.2">
      <c r="A1671" s="3">
        <f>StartYear+1669</f>
        <v>3694</v>
      </c>
      <c r="B1671" s="4">
        <f>FacultyFTE*HoursPerWeek*WeeksPerYear*RatePerHour*(1+PracticeGrowth)^1669</f>
        <v>6.6731768649826813E+40</v>
      </c>
      <c r="C1671" s="4">
        <f>StudentsY1*(1+StudentGrowth)^1669*CreditsPerStudent*TuitionPerCredit</f>
        <v>4.1707355406141756E+41</v>
      </c>
      <c r="D1671" s="4">
        <f>SimRevY1*(1+SimGrowth)^1669</f>
        <v>6.07241624482623E+73</v>
      </c>
      <c r="E1671" s="4">
        <f>FacDevRevY1*(1+FacDevGrowth)^1669</f>
        <v>3.036208122413115E+73</v>
      </c>
      <c r="F1671" s="4">
        <f t="shared" si="104"/>
        <v>9.108624367239345E+73</v>
      </c>
      <c r="G1671" s="4">
        <f t="shared" si="105"/>
        <v>9.108624367239345E+73</v>
      </c>
      <c r="H1671" s="4">
        <f>SalaryFTECount*SalaryPerFTE*(1+SalaryGrowth)^1669</f>
        <v>5.6345934281792452E+33</v>
      </c>
      <c r="I1671" s="4">
        <f>SimOpsY1*(1+SimOpsGrowth)^1669</f>
        <v>1.8254467237173973E+60</v>
      </c>
      <c r="J1671" s="4">
        <f>TrainDevY1*(1+TrainDevGrowth)^1669</f>
        <v>9.1272336185869866E+59</v>
      </c>
      <c r="K1671" s="4">
        <f>AdminY1*(1+AdminGrowth)^1669</f>
        <v>3.4396885645494173E+46</v>
      </c>
      <c r="L1671" s="4">
        <f t="shared" si="106"/>
        <v>2.7381700855761301E+60</v>
      </c>
      <c r="M1671" s="4">
        <f t="shared" si="107"/>
        <v>9.1086243672390713E+73</v>
      </c>
    </row>
    <row r="1672" spans="1:13" x14ac:dyDescent="0.2">
      <c r="A1672" s="3">
        <f>StartYear+1670</f>
        <v>3695</v>
      </c>
      <c r="B1672" s="4">
        <f>FacultyFTE*HoursPerWeek*WeeksPerYear*RatePerHour*(1+PracticeGrowth)^1670</f>
        <v>7.0068357082318138E+40</v>
      </c>
      <c r="C1672" s="4">
        <f>StudentsY1*(1+StudentGrowth)^1670*CreditsPerStudent*TuitionPerCredit</f>
        <v>4.3792723176448838E+41</v>
      </c>
      <c r="D1672" s="4">
        <f>SimRevY1*(1+SimGrowth)^1670</f>
        <v>6.679657869308855E+73</v>
      </c>
      <c r="E1672" s="4">
        <f>FacDevRevY1*(1+FacDevGrowth)^1670</f>
        <v>3.3398289346544275E+73</v>
      </c>
      <c r="F1672" s="4">
        <f t="shared" si="104"/>
        <v>1.0019486803963283E+74</v>
      </c>
      <c r="G1672" s="4">
        <f t="shared" si="105"/>
        <v>1.0019486803963283E+74</v>
      </c>
      <c r="H1672" s="4">
        <f>SalaryFTECount*SalaryPerFTE*(1+SalaryGrowth)^1670</f>
        <v>5.8599771653064156E+33</v>
      </c>
      <c r="I1672" s="4">
        <f>SimOpsY1*(1+SimOpsGrowth)^1670</f>
        <v>1.9714824616147894E+60</v>
      </c>
      <c r="J1672" s="4">
        <f>TrainDevY1*(1+TrainDevGrowth)^1670</f>
        <v>9.857412308073947E+59</v>
      </c>
      <c r="K1672" s="4">
        <f>AdminY1*(1+AdminGrowth)^1670</f>
        <v>3.6460698784223831E+46</v>
      </c>
      <c r="L1672" s="4">
        <f t="shared" si="106"/>
        <v>2.9572236924222207E+60</v>
      </c>
      <c r="M1672" s="4">
        <f t="shared" si="107"/>
        <v>1.0019486803962986E+74</v>
      </c>
    </row>
    <row r="1673" spans="1:13" x14ac:dyDescent="0.2">
      <c r="A1673" s="3">
        <f>StartYear+1671</f>
        <v>3696</v>
      </c>
      <c r="B1673" s="4">
        <f>FacultyFTE*HoursPerWeek*WeeksPerYear*RatePerHour*(1+PracticeGrowth)^1671</f>
        <v>7.3571774936434052E+40</v>
      </c>
      <c r="C1673" s="4">
        <f>StudentsY1*(1+StudentGrowth)^1671*CreditsPerStudent*TuitionPerCredit</f>
        <v>4.5982359335271282E+41</v>
      </c>
      <c r="D1673" s="4">
        <f>SimRevY1*(1+SimGrowth)^1671</f>
        <v>7.3476236562397413E+73</v>
      </c>
      <c r="E1673" s="4">
        <f>FacDevRevY1*(1+FacDevGrowth)^1671</f>
        <v>3.6738118281198706E+73</v>
      </c>
      <c r="F1673" s="4">
        <f t="shared" si="104"/>
        <v>1.1021435484359613E+74</v>
      </c>
      <c r="G1673" s="4">
        <f t="shared" si="105"/>
        <v>1.1021435484359613E+74</v>
      </c>
      <c r="H1673" s="4">
        <f>SalaryFTECount*SalaryPerFTE*(1+SalaryGrowth)^1671</f>
        <v>6.0943762519186708E+33</v>
      </c>
      <c r="I1673" s="4">
        <f>SimOpsY1*(1+SimOpsGrowth)^1671</f>
        <v>2.1292010585439728E+60</v>
      </c>
      <c r="J1673" s="4">
        <f>TrainDevY1*(1+TrainDevGrowth)^1671</f>
        <v>1.0646005292719864E+60</v>
      </c>
      <c r="K1673" s="4">
        <f>AdminY1*(1+AdminGrowth)^1671</f>
        <v>3.8648340711277267E+46</v>
      </c>
      <c r="L1673" s="4">
        <f t="shared" si="106"/>
        <v>3.1938015878159977E+60</v>
      </c>
      <c r="M1673" s="4">
        <f t="shared" si="107"/>
        <v>1.1021435484359294E+74</v>
      </c>
    </row>
    <row r="1674" spans="1:13" x14ac:dyDescent="0.2">
      <c r="A1674" s="3">
        <f>StartYear+1672</f>
        <v>3697</v>
      </c>
      <c r="B1674" s="4">
        <f>FacultyFTE*HoursPerWeek*WeeksPerYear*RatePerHour*(1+PracticeGrowth)^1672</f>
        <v>7.7250363683255762E+40</v>
      </c>
      <c r="C1674" s="4">
        <f>StudentsY1*(1+StudentGrowth)^1672*CreditsPerStudent*TuitionPerCredit</f>
        <v>4.8281477302034852E+41</v>
      </c>
      <c r="D1674" s="4">
        <f>SimRevY1*(1+SimGrowth)^1672</f>
        <v>8.082386021863715E+73</v>
      </c>
      <c r="E1674" s="4">
        <f>FacDevRevY1*(1+FacDevGrowth)^1672</f>
        <v>4.0411930109318575E+73</v>
      </c>
      <c r="F1674" s="4">
        <f t="shared" si="104"/>
        <v>1.2123579032795571E+74</v>
      </c>
      <c r="G1674" s="4">
        <f t="shared" si="105"/>
        <v>1.2123579032795571E+74</v>
      </c>
      <c r="H1674" s="4">
        <f>SalaryFTECount*SalaryPerFTE*(1+SalaryGrowth)^1672</f>
        <v>6.3381513019954185E+33</v>
      </c>
      <c r="I1674" s="4">
        <f>SimOpsY1*(1+SimOpsGrowth)^1672</f>
        <v>2.2995371432274902E+60</v>
      </c>
      <c r="J1674" s="4">
        <f>TrainDevY1*(1+TrainDevGrowth)^1672</f>
        <v>1.1497685716137451E+60</v>
      </c>
      <c r="K1674" s="4">
        <f>AdminY1*(1+AdminGrowth)^1672</f>
        <v>4.0967241153953893E+46</v>
      </c>
      <c r="L1674" s="4">
        <f t="shared" si="106"/>
        <v>3.4493057148412757E+60</v>
      </c>
      <c r="M1674" s="4">
        <f t="shared" si="107"/>
        <v>1.2123579032795227E+74</v>
      </c>
    </row>
    <row r="1675" spans="1:13" x14ac:dyDescent="0.2">
      <c r="A1675" s="3">
        <f>StartYear+1673</f>
        <v>3698</v>
      </c>
      <c r="B1675" s="4">
        <f>FacultyFTE*HoursPerWeek*WeeksPerYear*RatePerHour*(1+PracticeGrowth)^1673</f>
        <v>8.1112881867418551E+40</v>
      </c>
      <c r="C1675" s="4">
        <f>StudentsY1*(1+StudentGrowth)^1673*CreditsPerStudent*TuitionPerCredit</f>
        <v>5.069555116713659E+41</v>
      </c>
      <c r="D1675" s="4">
        <f>SimRevY1*(1+SimGrowth)^1673</f>
        <v>8.8906246240500875E+73</v>
      </c>
      <c r="E1675" s="4">
        <f>FacDevRevY1*(1+FacDevGrowth)^1673</f>
        <v>4.4453123120250438E+73</v>
      </c>
      <c r="F1675" s="4">
        <f t="shared" si="104"/>
        <v>1.3335936936075132E+74</v>
      </c>
      <c r="G1675" s="4">
        <f t="shared" si="105"/>
        <v>1.3335936936075132E+74</v>
      </c>
      <c r="H1675" s="4">
        <f>SalaryFTECount*SalaryPerFTE*(1+SalaryGrowth)^1673</f>
        <v>6.591677354075236E+33</v>
      </c>
      <c r="I1675" s="4">
        <f>SimOpsY1*(1+SimOpsGrowth)^1673</f>
        <v>2.48350011468569E+60</v>
      </c>
      <c r="J1675" s="4">
        <f>TrainDevY1*(1+TrainDevGrowth)^1673</f>
        <v>1.241750057342845E+60</v>
      </c>
      <c r="K1675" s="4">
        <f>AdminY1*(1+AdminGrowth)^1673</f>
        <v>4.3425275623191135E+46</v>
      </c>
      <c r="L1675" s="4">
        <f t="shared" si="106"/>
        <v>3.7252501720285787E+60</v>
      </c>
      <c r="M1675" s="4">
        <f t="shared" si="107"/>
        <v>1.333593693607476E+74</v>
      </c>
    </row>
    <row r="1676" spans="1:13" x14ac:dyDescent="0.2">
      <c r="A1676" s="3">
        <f>StartYear+1674</f>
        <v>3699</v>
      </c>
      <c r="B1676" s="4">
        <f>FacultyFTE*HoursPerWeek*WeeksPerYear*RatePerHour*(1+PracticeGrowth)^1674</f>
        <v>8.5168525960789478E+40</v>
      </c>
      <c r="C1676" s="4">
        <f>StudentsY1*(1+StudentGrowth)^1674*CreditsPerStudent*TuitionPerCredit</f>
        <v>5.3230328725493428E+41</v>
      </c>
      <c r="D1676" s="4">
        <f>SimRevY1*(1+SimGrowth)^1674</f>
        <v>9.7796870864550979E+73</v>
      </c>
      <c r="E1676" s="4">
        <f>FacDevRevY1*(1+FacDevGrowth)^1674</f>
        <v>4.889843543227549E+73</v>
      </c>
      <c r="F1676" s="4">
        <f t="shared" si="104"/>
        <v>1.4669530629682648E+74</v>
      </c>
      <c r="G1676" s="4">
        <f t="shared" si="105"/>
        <v>1.4669530629682648E+74</v>
      </c>
      <c r="H1676" s="4">
        <f>SalaryFTECount*SalaryPerFTE*(1+SalaryGrowth)^1674</f>
        <v>6.8553444482382444E+33</v>
      </c>
      <c r="I1676" s="4">
        <f>SimOpsY1*(1+SimOpsGrowth)^1674</f>
        <v>2.6821801238605455E+60</v>
      </c>
      <c r="J1676" s="4">
        <f>TrainDevY1*(1+TrainDevGrowth)^1674</f>
        <v>1.3410900619302727E+60</v>
      </c>
      <c r="K1676" s="4">
        <f>AdminY1*(1+AdminGrowth)^1674</f>
        <v>4.6030792160582606E+46</v>
      </c>
      <c r="L1676" s="4">
        <f t="shared" si="106"/>
        <v>4.0232701857908646E+60</v>
      </c>
      <c r="M1676" s="4">
        <f t="shared" si="107"/>
        <v>1.4669530629682246E+74</v>
      </c>
    </row>
    <row r="1677" spans="1:13" x14ac:dyDescent="0.2">
      <c r="A1677" s="3">
        <f>StartYear+1675</f>
        <v>3700</v>
      </c>
      <c r="B1677" s="4">
        <f>FacultyFTE*HoursPerWeek*WeeksPerYear*RatePerHour*(1+PracticeGrowth)^1675</f>
        <v>8.9426952258828954E+40</v>
      </c>
      <c r="C1677" s="4">
        <f>StudentsY1*(1+StudentGrowth)^1675*CreditsPerStudent*TuitionPerCredit</f>
        <v>5.5891845161768089E+41</v>
      </c>
      <c r="D1677" s="4">
        <f>SimRevY1*(1+SimGrowth)^1675</f>
        <v>1.0757655795100609E+74</v>
      </c>
      <c r="E1677" s="4">
        <f>FacDevRevY1*(1+FacDevGrowth)^1675</f>
        <v>5.3788278975503046E+73</v>
      </c>
      <c r="F1677" s="4">
        <f t="shared" si="104"/>
        <v>1.6136483692650914E+74</v>
      </c>
      <c r="G1677" s="4">
        <f t="shared" si="105"/>
        <v>1.6136483692650914E+74</v>
      </c>
      <c r="H1677" s="4">
        <f>SalaryFTECount*SalaryPerFTE*(1+SalaryGrowth)^1675</f>
        <v>7.1295582261677741E+33</v>
      </c>
      <c r="I1677" s="4">
        <f>SimOpsY1*(1+SimOpsGrowth)^1675</f>
        <v>2.8967545337693885E+60</v>
      </c>
      <c r="J1677" s="4">
        <f>TrainDevY1*(1+TrainDevGrowth)^1675</f>
        <v>1.4483772668846942E+60</v>
      </c>
      <c r="K1677" s="4">
        <f>AdminY1*(1+AdminGrowth)^1675</f>
        <v>4.8792639690217563E+46</v>
      </c>
      <c r="L1677" s="4">
        <f t="shared" si="106"/>
        <v>4.345131800654131E+60</v>
      </c>
      <c r="M1677" s="4">
        <f t="shared" si="107"/>
        <v>1.613648369265048E+74</v>
      </c>
    </row>
    <row r="1678" spans="1:13" x14ac:dyDescent="0.2">
      <c r="A1678" s="3">
        <f>StartYear+1676</f>
        <v>3701</v>
      </c>
      <c r="B1678" s="4">
        <f>FacultyFTE*HoursPerWeek*WeeksPerYear*RatePerHour*(1+PracticeGrowth)^1676</f>
        <v>9.3898299871770391E+40</v>
      </c>
      <c r="C1678" s="4">
        <f>StudentsY1*(1+StudentGrowth)^1676*CreditsPerStudent*TuitionPerCredit</f>
        <v>5.8686437419856495E+41</v>
      </c>
      <c r="D1678" s="4">
        <f>SimRevY1*(1+SimGrowth)^1676</f>
        <v>1.1833421374610668E+74</v>
      </c>
      <c r="E1678" s="4">
        <f>FacDevRevY1*(1+FacDevGrowth)^1676</f>
        <v>5.9167106873053341E+73</v>
      </c>
      <c r="F1678" s="4">
        <f t="shared" si="104"/>
        <v>1.7750132061916002E+74</v>
      </c>
      <c r="G1678" s="4">
        <f t="shared" si="105"/>
        <v>1.7750132061916002E+74</v>
      </c>
      <c r="H1678" s="4">
        <f>SalaryFTECount*SalaryPerFTE*(1+SalaryGrowth)^1676</f>
        <v>7.4147405552144873E+33</v>
      </c>
      <c r="I1678" s="4">
        <f>SimOpsY1*(1+SimOpsGrowth)^1676</f>
        <v>3.1284948964709398E+60</v>
      </c>
      <c r="J1678" s="4">
        <f>TrainDevY1*(1+TrainDevGrowth)^1676</f>
        <v>1.5642474482354699E+60</v>
      </c>
      <c r="K1678" s="4">
        <f>AdminY1*(1+AdminGrowth)^1676</f>
        <v>5.172019807163062E+46</v>
      </c>
      <c r="L1678" s="4">
        <f t="shared" si="106"/>
        <v>4.6927423447064609E+60</v>
      </c>
      <c r="M1678" s="4">
        <f t="shared" si="107"/>
        <v>1.7750132061915533E+74</v>
      </c>
    </row>
    <row r="1679" spans="1:13" x14ac:dyDescent="0.2">
      <c r="A1679" s="3">
        <f>StartYear+1677</f>
        <v>3702</v>
      </c>
      <c r="B1679" s="4">
        <f>FacultyFTE*HoursPerWeek*WeeksPerYear*RatePerHour*(1+PracticeGrowth)^1677</f>
        <v>9.8593214865358928E+40</v>
      </c>
      <c r="C1679" s="4">
        <f>StudentsY1*(1+StudentGrowth)^1677*CreditsPerStudent*TuitionPerCredit</f>
        <v>6.1620759290849327E+41</v>
      </c>
      <c r="D1679" s="4">
        <f>SimRevY1*(1+SimGrowth)^1677</f>
        <v>1.3016763512071733E+74</v>
      </c>
      <c r="E1679" s="4">
        <f>FacDevRevY1*(1+FacDevGrowth)^1677</f>
        <v>6.5083817560358663E+73</v>
      </c>
      <c r="F1679" s="4">
        <f t="shared" si="104"/>
        <v>1.9525145268107599E+74</v>
      </c>
      <c r="G1679" s="4">
        <f t="shared" si="105"/>
        <v>1.9525145268107599E+74</v>
      </c>
      <c r="H1679" s="4">
        <f>SalaryFTECount*SalaryPerFTE*(1+SalaryGrowth)^1677</f>
        <v>7.7113301774230674E+33</v>
      </c>
      <c r="I1679" s="4">
        <f>SimOpsY1*(1+SimOpsGrowth)^1677</f>
        <v>3.378774488188615E+60</v>
      </c>
      <c r="J1679" s="4">
        <f>TrainDevY1*(1+TrainDevGrowth)^1677</f>
        <v>1.6893872440943075E+60</v>
      </c>
      <c r="K1679" s="4">
        <f>AdminY1*(1+AdminGrowth)^1677</f>
        <v>5.4823409955928465E+46</v>
      </c>
      <c r="L1679" s="4">
        <f t="shared" si="106"/>
        <v>5.0681617322829775E+60</v>
      </c>
      <c r="M1679" s="4">
        <f t="shared" si="107"/>
        <v>1.9525145268107092E+74</v>
      </c>
    </row>
    <row r="1680" spans="1:13" x14ac:dyDescent="0.2">
      <c r="A1680" s="3">
        <f>StartYear+1678</f>
        <v>3703</v>
      </c>
      <c r="B1680" s="4">
        <f>FacultyFTE*HoursPerWeek*WeeksPerYear*RatePerHour*(1+PracticeGrowth)^1678</f>
        <v>1.0352287560862683E+41</v>
      </c>
      <c r="C1680" s="4">
        <f>StudentsY1*(1+StudentGrowth)^1678*CreditsPerStudent*TuitionPerCredit</f>
        <v>6.4701797255391769E+41</v>
      </c>
      <c r="D1680" s="4">
        <f>SimRevY1*(1+SimGrowth)^1678</f>
        <v>1.4318439863278913E+74</v>
      </c>
      <c r="E1680" s="4">
        <f>FacDevRevY1*(1+FacDevGrowth)^1678</f>
        <v>7.1592199316394564E+73</v>
      </c>
      <c r="F1680" s="4">
        <f t="shared" si="104"/>
        <v>2.1477659794918368E+74</v>
      </c>
      <c r="G1680" s="4">
        <f t="shared" si="105"/>
        <v>2.1477659794918368E+74</v>
      </c>
      <c r="H1680" s="4">
        <f>SalaryFTECount*SalaryPerFTE*(1+SalaryGrowth)^1678</f>
        <v>8.0197833845199903E+33</v>
      </c>
      <c r="I1680" s="4">
        <f>SimOpsY1*(1+SimOpsGrowth)^1678</f>
        <v>3.6490764472437056E+60</v>
      </c>
      <c r="J1680" s="4">
        <f>TrainDevY1*(1+TrainDevGrowth)^1678</f>
        <v>1.8245382236218528E+60</v>
      </c>
      <c r="K1680" s="4">
        <f>AdminY1*(1+AdminGrowth)^1678</f>
        <v>5.8112814553284176E+46</v>
      </c>
      <c r="L1680" s="4">
        <f t="shared" si="106"/>
        <v>5.4736146708656162E+60</v>
      </c>
      <c r="M1680" s="4">
        <f t="shared" si="107"/>
        <v>2.1477659794917821E+74</v>
      </c>
    </row>
    <row r="1681" spans="1:13" x14ac:dyDescent="0.2">
      <c r="A1681" s="3">
        <f>StartYear+1679</f>
        <v>3704</v>
      </c>
      <c r="B1681" s="4">
        <f>FacultyFTE*HoursPerWeek*WeeksPerYear*RatePerHour*(1+PracticeGrowth)^1679</f>
        <v>1.0869901938905824E+41</v>
      </c>
      <c r="C1681" s="4">
        <f>StudentsY1*(1+StudentGrowth)^1679*CreditsPerStudent*TuitionPerCredit</f>
        <v>6.7936887118161394E+41</v>
      </c>
      <c r="D1681" s="4">
        <f>SimRevY1*(1+SimGrowth)^1679</f>
        <v>1.5750283849606803E+74</v>
      </c>
      <c r="E1681" s="4">
        <f>FacDevRevY1*(1+FacDevGrowth)^1679</f>
        <v>7.8751419248034017E+73</v>
      </c>
      <c r="F1681" s="4">
        <f t="shared" si="104"/>
        <v>2.3625425774410204E+74</v>
      </c>
      <c r="G1681" s="4">
        <f t="shared" si="105"/>
        <v>2.3625425774410204E+74</v>
      </c>
      <c r="H1681" s="4">
        <f>SalaryFTECount*SalaryPerFTE*(1+SalaryGrowth)^1679</f>
        <v>8.3405747199007896E+33</v>
      </c>
      <c r="I1681" s="4">
        <f>SimOpsY1*(1+SimOpsGrowth)^1679</f>
        <v>3.941002563023202E+60</v>
      </c>
      <c r="J1681" s="4">
        <f>TrainDevY1*(1+TrainDevGrowth)^1679</f>
        <v>1.970501281511601E+60</v>
      </c>
      <c r="K1681" s="4">
        <f>AdminY1*(1+AdminGrowth)^1679</f>
        <v>6.1599583426481246E+46</v>
      </c>
      <c r="L1681" s="4">
        <f t="shared" si="106"/>
        <v>5.9115038445348647E+60</v>
      </c>
      <c r="M1681" s="4">
        <f t="shared" si="107"/>
        <v>2.3625425774409611E+74</v>
      </c>
    </row>
    <row r="1682" spans="1:13" x14ac:dyDescent="0.2">
      <c r="A1682" s="3">
        <f>StartYear+1680</f>
        <v>3705</v>
      </c>
      <c r="B1682" s="4">
        <f>FacultyFTE*HoursPerWeek*WeeksPerYear*RatePerHour*(1+PracticeGrowth)^1680</f>
        <v>1.1413397035851112E+41</v>
      </c>
      <c r="C1682" s="4">
        <f>StudentsY1*(1+StudentGrowth)^1680*CreditsPerStudent*TuitionPerCredit</f>
        <v>7.1333731474069459E+41</v>
      </c>
      <c r="D1682" s="4">
        <f>SimRevY1*(1+SimGrowth)^1680</f>
        <v>1.7325312234567482E+74</v>
      </c>
      <c r="E1682" s="4">
        <f>FacDevRevY1*(1+FacDevGrowth)^1680</f>
        <v>8.6626561172837412E+73</v>
      </c>
      <c r="F1682" s="4">
        <f t="shared" si="104"/>
        <v>2.5987968351851224E+74</v>
      </c>
      <c r="G1682" s="4">
        <f t="shared" si="105"/>
        <v>2.5987968351851224E+74</v>
      </c>
      <c r="H1682" s="4">
        <f>SalaryFTECount*SalaryPerFTE*(1+SalaryGrowth)^1680</f>
        <v>8.6741977086968205E+33</v>
      </c>
      <c r="I1682" s="4">
        <f>SimOpsY1*(1+SimOpsGrowth)^1680</f>
        <v>4.2562827680650578E+60</v>
      </c>
      <c r="J1682" s="4">
        <f>TrainDevY1*(1+TrainDevGrowth)^1680</f>
        <v>2.1281413840325289E+60</v>
      </c>
      <c r="K1682" s="4">
        <f>AdminY1*(1+AdminGrowth)^1680</f>
        <v>6.5295558432070088E+46</v>
      </c>
      <c r="L1682" s="4">
        <f t="shared" si="106"/>
        <v>6.3844241520976512E+60</v>
      </c>
      <c r="M1682" s="4">
        <f t="shared" si="107"/>
        <v>2.5987968351850586E+74</v>
      </c>
    </row>
    <row r="1683" spans="1:13" x14ac:dyDescent="0.2">
      <c r="A1683" s="3">
        <f>StartYear+1681</f>
        <v>3706</v>
      </c>
      <c r="B1683" s="4">
        <f>FacultyFTE*HoursPerWeek*WeeksPerYear*RatePerHour*(1+PracticeGrowth)^1681</f>
        <v>1.198406688764367E+41</v>
      </c>
      <c r="C1683" s="4">
        <f>StudentsY1*(1+StudentGrowth)^1681*CreditsPerStudent*TuitionPerCredit</f>
        <v>7.4900418047772947E+41</v>
      </c>
      <c r="D1683" s="4">
        <f>SimRevY1*(1+SimGrowth)^1681</f>
        <v>1.9057843458024233E+74</v>
      </c>
      <c r="E1683" s="4">
        <f>FacDevRevY1*(1+FacDevGrowth)^1681</f>
        <v>9.5289217290121164E+73</v>
      </c>
      <c r="F1683" s="4">
        <f t="shared" si="104"/>
        <v>2.8586765187036349E+74</v>
      </c>
      <c r="G1683" s="4">
        <f t="shared" si="105"/>
        <v>2.8586765187036349E+74</v>
      </c>
      <c r="H1683" s="4">
        <f>SalaryFTECount*SalaryPerFTE*(1+SalaryGrowth)^1681</f>
        <v>9.0211656170446944E+33</v>
      </c>
      <c r="I1683" s="4">
        <f>SimOpsY1*(1+SimOpsGrowth)^1681</f>
        <v>4.5967853895102626E+60</v>
      </c>
      <c r="J1683" s="4">
        <f>TrainDevY1*(1+TrainDevGrowth)^1681</f>
        <v>2.2983926947551313E+60</v>
      </c>
      <c r="K1683" s="4">
        <f>AdminY1*(1+AdminGrowth)^1681</f>
        <v>6.9213291937994313E+46</v>
      </c>
      <c r="L1683" s="4">
        <f t="shared" si="106"/>
        <v>6.895178084265462E+60</v>
      </c>
      <c r="M1683" s="4">
        <f t="shared" si="107"/>
        <v>2.8586765187035661E+74</v>
      </c>
    </row>
    <row r="1684" spans="1:13" x14ac:dyDescent="0.2">
      <c r="A1684" s="3">
        <f>StartYear+1682</f>
        <v>3707</v>
      </c>
      <c r="B1684" s="4">
        <f>FacultyFTE*HoursPerWeek*WeeksPerYear*RatePerHour*(1+PracticeGrowth)^1682</f>
        <v>1.2583270232025851E+41</v>
      </c>
      <c r="C1684" s="4">
        <f>StudentsY1*(1+StudentGrowth)^1682*CreditsPerStudent*TuitionPerCredit</f>
        <v>7.8645438950161579E+41</v>
      </c>
      <c r="D1684" s="4">
        <f>SimRevY1*(1+SimGrowth)^1682</f>
        <v>2.0963627803826661E+74</v>
      </c>
      <c r="E1684" s="4">
        <f>FacDevRevY1*(1+FacDevGrowth)^1682</f>
        <v>1.048181390191333E+74</v>
      </c>
      <c r="F1684" s="4">
        <f t="shared" si="104"/>
        <v>3.144544170573999E+74</v>
      </c>
      <c r="G1684" s="4">
        <f t="shared" si="105"/>
        <v>3.144544170573999E+74</v>
      </c>
      <c r="H1684" s="4">
        <f>SalaryFTECount*SalaryPerFTE*(1+SalaryGrowth)^1682</f>
        <v>9.3820122417264837E+33</v>
      </c>
      <c r="I1684" s="4">
        <f>SimOpsY1*(1+SimOpsGrowth)^1682</f>
        <v>4.9645282206710843E+60</v>
      </c>
      <c r="J1684" s="4">
        <f>TrainDevY1*(1+TrainDevGrowth)^1682</f>
        <v>2.4822641103355422E+60</v>
      </c>
      <c r="K1684" s="4">
        <f>AdminY1*(1+AdminGrowth)^1682</f>
        <v>7.3366089454273965E+46</v>
      </c>
      <c r="L1684" s="4">
        <f t="shared" si="106"/>
        <v>7.4467923310066989E+60</v>
      </c>
      <c r="M1684" s="4">
        <f t="shared" si="107"/>
        <v>3.1445441705739246E+74</v>
      </c>
    </row>
    <row r="1685" spans="1:13" x14ac:dyDescent="0.2">
      <c r="A1685" s="3">
        <f>StartYear+1683</f>
        <v>3708</v>
      </c>
      <c r="B1685" s="4">
        <f>FacultyFTE*HoursPerWeek*WeeksPerYear*RatePerHour*(1+PracticeGrowth)^1683</f>
        <v>1.3212433743627146E+41</v>
      </c>
      <c r="C1685" s="4">
        <f>StudentsY1*(1+StudentGrowth)^1683*CreditsPerStudent*TuitionPerCredit</f>
        <v>8.2577710897669657E+41</v>
      </c>
      <c r="D1685" s="4">
        <f>SimRevY1*(1+SimGrowth)^1683</f>
        <v>2.3059990584209332E+74</v>
      </c>
      <c r="E1685" s="4">
        <f>FacDevRevY1*(1+FacDevGrowth)^1683</f>
        <v>1.1529995292104666E+74</v>
      </c>
      <c r="F1685" s="4">
        <f t="shared" si="104"/>
        <v>3.4589985876313999E+74</v>
      </c>
      <c r="G1685" s="4">
        <f t="shared" si="105"/>
        <v>3.4589985876313999E+74</v>
      </c>
      <c r="H1685" s="4">
        <f>SalaryFTECount*SalaryPerFTE*(1+SalaryGrowth)^1683</f>
        <v>9.7572927313955426E+33</v>
      </c>
      <c r="I1685" s="4">
        <f>SimOpsY1*(1+SimOpsGrowth)^1683</f>
        <v>5.3616904783247714E+60</v>
      </c>
      <c r="J1685" s="4">
        <f>TrainDevY1*(1+TrainDevGrowth)^1683</f>
        <v>2.6808452391623857E+60</v>
      </c>
      <c r="K1685" s="4">
        <f>AdminY1*(1+AdminGrowth)^1683</f>
        <v>7.7768054821530411E+46</v>
      </c>
      <c r="L1685" s="4">
        <f t="shared" si="106"/>
        <v>8.0425357174872341E+60</v>
      </c>
      <c r="M1685" s="4">
        <f t="shared" si="107"/>
        <v>3.4589985876313195E+74</v>
      </c>
    </row>
    <row r="1686" spans="1:13" x14ac:dyDescent="0.2">
      <c r="A1686" s="3">
        <f>StartYear+1684</f>
        <v>3709</v>
      </c>
      <c r="B1686" s="4">
        <f>FacultyFTE*HoursPerWeek*WeeksPerYear*RatePerHour*(1+PracticeGrowth)^1684</f>
        <v>1.3873055430808505E+41</v>
      </c>
      <c r="C1686" s="4">
        <f>StudentsY1*(1+StudentGrowth)^1684*CreditsPerStudent*TuitionPerCredit</f>
        <v>8.6706596442553156E+41</v>
      </c>
      <c r="D1686" s="4">
        <f>SimRevY1*(1+SimGrowth)^1684</f>
        <v>2.5365989642630261E+74</v>
      </c>
      <c r="E1686" s="4">
        <f>FacDevRevY1*(1+FacDevGrowth)^1684</f>
        <v>1.268299482131513E+74</v>
      </c>
      <c r="F1686" s="4">
        <f t="shared" si="104"/>
        <v>3.8048984463945388E+74</v>
      </c>
      <c r="G1686" s="4">
        <f t="shared" si="105"/>
        <v>3.8048984463945388E+74</v>
      </c>
      <c r="H1686" s="4">
        <f>SalaryFTECount*SalaryPerFTE*(1+SalaryGrowth)^1684</f>
        <v>1.0147584440651365E+34</v>
      </c>
      <c r="I1686" s="4">
        <f>SimOpsY1*(1+SimOpsGrowth)^1684</f>
        <v>5.7906257165907533E+60</v>
      </c>
      <c r="J1686" s="4">
        <f>TrainDevY1*(1+TrainDevGrowth)^1684</f>
        <v>2.8953128582953767E+60</v>
      </c>
      <c r="K1686" s="4">
        <f>AdminY1*(1+AdminGrowth)^1684</f>
        <v>8.2434138110822235E+46</v>
      </c>
      <c r="L1686" s="4">
        <f t="shared" si="106"/>
        <v>8.6859385748862127E+60</v>
      </c>
      <c r="M1686" s="4">
        <f t="shared" si="107"/>
        <v>3.804898446394452E+74</v>
      </c>
    </row>
    <row r="1687" spans="1:13" x14ac:dyDescent="0.2">
      <c r="A1687" s="3">
        <f>StartYear+1685</f>
        <v>3710</v>
      </c>
      <c r="B1687" s="4">
        <f>FacultyFTE*HoursPerWeek*WeeksPerYear*RatePerHour*(1+PracticeGrowth)^1685</f>
        <v>1.4566708202348927E+41</v>
      </c>
      <c r="C1687" s="4">
        <f>StudentsY1*(1+StudentGrowth)^1685*CreditsPerStudent*TuitionPerCredit</f>
        <v>9.1041926264680796E+41</v>
      </c>
      <c r="D1687" s="4">
        <f>SimRevY1*(1+SimGrowth)^1685</f>
        <v>2.7902588606893287E+74</v>
      </c>
      <c r="E1687" s="4">
        <f>FacDevRevY1*(1+FacDevGrowth)^1685</f>
        <v>1.3951294303446644E+74</v>
      </c>
      <c r="F1687" s="4">
        <f t="shared" si="104"/>
        <v>4.1853882910339933E+74</v>
      </c>
      <c r="G1687" s="4">
        <f t="shared" si="105"/>
        <v>4.1853882910339933E+74</v>
      </c>
      <c r="H1687" s="4">
        <f>SalaryFTECount*SalaryPerFTE*(1+SalaryGrowth)^1685</f>
        <v>1.0553487818277422E+34</v>
      </c>
      <c r="I1687" s="4">
        <f>SimOpsY1*(1+SimOpsGrowth)^1685</f>
        <v>6.2538757739180134E+60</v>
      </c>
      <c r="J1687" s="4">
        <f>TrainDevY1*(1+TrainDevGrowth)^1685</f>
        <v>3.1269378869590067E+60</v>
      </c>
      <c r="K1687" s="4">
        <f>AdminY1*(1+AdminGrowth)^1685</f>
        <v>8.7380186397471594E+46</v>
      </c>
      <c r="L1687" s="4">
        <f t="shared" si="106"/>
        <v>9.3808136608771075E+60</v>
      </c>
      <c r="M1687" s="4">
        <f t="shared" si="107"/>
        <v>4.1853882910338994E+74</v>
      </c>
    </row>
    <row r="1688" spans="1:13" x14ac:dyDescent="0.2">
      <c r="A1688" s="3">
        <f>StartYear+1686</f>
        <v>3711</v>
      </c>
      <c r="B1688" s="4">
        <f>FacultyFTE*HoursPerWeek*WeeksPerYear*RatePerHour*(1+PracticeGrowth)^1686</f>
        <v>1.5295043612466371E+41</v>
      </c>
      <c r="C1688" s="4">
        <f>StudentsY1*(1+StudentGrowth)^1686*CreditsPerStudent*TuitionPerCredit</f>
        <v>9.5594022577914836E+41</v>
      </c>
      <c r="D1688" s="4">
        <f>SimRevY1*(1+SimGrowth)^1686</f>
        <v>3.0692847467582622E+74</v>
      </c>
      <c r="E1688" s="4">
        <f>FacDevRevY1*(1+FacDevGrowth)^1686</f>
        <v>1.5346423733791311E+74</v>
      </c>
      <c r="F1688" s="4">
        <f t="shared" si="104"/>
        <v>4.6039271201373939E+74</v>
      </c>
      <c r="G1688" s="4">
        <f t="shared" si="105"/>
        <v>4.6039271201373939E+74</v>
      </c>
      <c r="H1688" s="4">
        <f>SalaryFTECount*SalaryPerFTE*(1+SalaryGrowth)^1686</f>
        <v>1.0975627331008519E+34</v>
      </c>
      <c r="I1688" s="4">
        <f>SimOpsY1*(1+SimOpsGrowth)^1686</f>
        <v>6.7541858358314558E+60</v>
      </c>
      <c r="J1688" s="4">
        <f>TrainDevY1*(1+TrainDevGrowth)^1686</f>
        <v>3.3770929179157279E+60</v>
      </c>
      <c r="K1688" s="4">
        <f>AdminY1*(1+AdminGrowth)^1686</f>
        <v>9.2622997581319896E+46</v>
      </c>
      <c r="L1688" s="4">
        <f t="shared" si="106"/>
        <v>1.0131278753747277E+61</v>
      </c>
      <c r="M1688" s="4">
        <f t="shared" si="107"/>
        <v>4.6039271201372924E+74</v>
      </c>
    </row>
    <row r="1689" spans="1:13" x14ac:dyDescent="0.2">
      <c r="A1689" s="3">
        <f>StartYear+1687</f>
        <v>3712</v>
      </c>
      <c r="B1689" s="4">
        <f>FacultyFTE*HoursPerWeek*WeeksPerYear*RatePerHour*(1+PracticeGrowth)^1687</f>
        <v>1.6059795793089695E+41</v>
      </c>
      <c r="C1689" s="4">
        <f>StudentsY1*(1+StudentGrowth)^1687*CreditsPerStudent*TuitionPerCredit</f>
        <v>1.0037372370681058E+42</v>
      </c>
      <c r="D1689" s="4">
        <f>SimRevY1*(1+SimGrowth)^1687</f>
        <v>3.3762132214340887E+74</v>
      </c>
      <c r="E1689" s="4">
        <f>FacDevRevY1*(1+FacDevGrowth)^1687</f>
        <v>1.6881066107170443E+74</v>
      </c>
      <c r="F1689" s="4">
        <f t="shared" si="104"/>
        <v>5.0643198321511332E+74</v>
      </c>
      <c r="G1689" s="4">
        <f t="shared" si="105"/>
        <v>5.0643198321511332E+74</v>
      </c>
      <c r="H1689" s="4">
        <f>SalaryFTECount*SalaryPerFTE*(1+SalaryGrowth)^1687</f>
        <v>1.1414652424248859E+34</v>
      </c>
      <c r="I1689" s="4">
        <f>SimOpsY1*(1+SimOpsGrowth)^1687</f>
        <v>7.2945207026979708E+60</v>
      </c>
      <c r="J1689" s="4">
        <f>TrainDevY1*(1+TrainDevGrowth)^1687</f>
        <v>3.6472603513489854E+60</v>
      </c>
      <c r="K1689" s="4">
        <f>AdminY1*(1+AdminGrowth)^1687</f>
        <v>9.81803774361991E+46</v>
      </c>
      <c r="L1689" s="4">
        <f t="shared" si="106"/>
        <v>1.0941781054047055E+61</v>
      </c>
      <c r="M1689" s="4">
        <f t="shared" si="107"/>
        <v>5.0643198321510238E+74</v>
      </c>
    </row>
    <row r="1690" spans="1:13" x14ac:dyDescent="0.2">
      <c r="A1690" s="3">
        <f>StartYear+1688</f>
        <v>3713</v>
      </c>
      <c r="B1690" s="4">
        <f>FacultyFTE*HoursPerWeek*WeeksPerYear*RatePerHour*(1+PracticeGrowth)^1688</f>
        <v>1.6862785582744176E+41</v>
      </c>
      <c r="C1690" s="4">
        <f>StudentsY1*(1+StudentGrowth)^1688*CreditsPerStudent*TuitionPerCredit</f>
        <v>1.0539240989215111E+42</v>
      </c>
      <c r="D1690" s="4">
        <f>SimRevY1*(1+SimGrowth)^1688</f>
        <v>3.7138345435774972E+74</v>
      </c>
      <c r="E1690" s="4">
        <f>FacDevRevY1*(1+FacDevGrowth)^1688</f>
        <v>1.8569172717887486E+74</v>
      </c>
      <c r="F1690" s="4">
        <f t="shared" si="104"/>
        <v>5.5707518153662458E+74</v>
      </c>
      <c r="G1690" s="4">
        <f t="shared" si="105"/>
        <v>5.5707518153662458E+74</v>
      </c>
      <c r="H1690" s="4">
        <f>SalaryFTECount*SalaryPerFTE*(1+SalaryGrowth)^1688</f>
        <v>1.1871238521218812E+34</v>
      </c>
      <c r="I1690" s="4">
        <f>SimOpsY1*(1+SimOpsGrowth)^1688</f>
        <v>7.8780823589138084E+60</v>
      </c>
      <c r="J1690" s="4">
        <f>TrainDevY1*(1+TrainDevGrowth)^1688</f>
        <v>3.9390411794569042E+60</v>
      </c>
      <c r="K1690" s="4">
        <f>AdminY1*(1+AdminGrowth)^1688</f>
        <v>1.0407120008237104E+47</v>
      </c>
      <c r="L1690" s="4">
        <f t="shared" si="106"/>
        <v>1.1817123538370817E+61</v>
      </c>
      <c r="M1690" s="4">
        <f t="shared" si="107"/>
        <v>5.5707518153661273E+74</v>
      </c>
    </row>
    <row r="1691" spans="1:13" x14ac:dyDescent="0.2">
      <c r="A1691" s="3">
        <f>StartYear+1689</f>
        <v>3714</v>
      </c>
      <c r="B1691" s="4">
        <f>FacultyFTE*HoursPerWeek*WeeksPerYear*RatePerHour*(1+PracticeGrowth)^1689</f>
        <v>1.7705924861881384E+41</v>
      </c>
      <c r="C1691" s="4">
        <f>StudentsY1*(1+StudentGrowth)^1689*CreditsPerStudent*TuitionPerCredit</f>
        <v>1.1066203038675865E+42</v>
      </c>
      <c r="D1691" s="4">
        <f>SimRevY1*(1+SimGrowth)^1689</f>
        <v>4.0852179979352473E+74</v>
      </c>
      <c r="E1691" s="4">
        <f>FacDevRevY1*(1+FacDevGrowth)^1689</f>
        <v>2.0426089989676236E+74</v>
      </c>
      <c r="F1691" s="4">
        <f t="shared" si="104"/>
        <v>6.1278269969028709E+74</v>
      </c>
      <c r="G1691" s="4">
        <f t="shared" si="105"/>
        <v>6.1278269969028709E+74</v>
      </c>
      <c r="H1691" s="4">
        <f>SalaryFTECount*SalaryPerFTE*(1+SalaryGrowth)^1689</f>
        <v>1.2346088062067569E+34</v>
      </c>
      <c r="I1691" s="4">
        <f>SimOpsY1*(1+SimOpsGrowth)^1689</f>
        <v>8.5083289476269143E+60</v>
      </c>
      <c r="J1691" s="4">
        <f>TrainDevY1*(1+TrainDevGrowth)^1689</f>
        <v>4.2541644738134572E+60</v>
      </c>
      <c r="K1691" s="4">
        <f>AdminY1*(1+AdminGrowth)^1689</f>
        <v>1.1031547208731328E+47</v>
      </c>
      <c r="L1691" s="4">
        <f t="shared" si="106"/>
        <v>1.2762493421440481E+61</v>
      </c>
      <c r="M1691" s="4">
        <f t="shared" si="107"/>
        <v>6.1278269969027434E+74</v>
      </c>
    </row>
    <row r="1692" spans="1:13" x14ac:dyDescent="0.2">
      <c r="A1692" s="3">
        <f>StartYear+1690</f>
        <v>3715</v>
      </c>
      <c r="B1692" s="4">
        <f>FacultyFTE*HoursPerWeek*WeeksPerYear*RatePerHour*(1+PracticeGrowth)^1690</f>
        <v>1.8591221104975457E+41</v>
      </c>
      <c r="C1692" s="4">
        <f>StudentsY1*(1+StudentGrowth)^1690*CreditsPerStudent*TuitionPerCredit</f>
        <v>1.1619513190609659E+42</v>
      </c>
      <c r="D1692" s="4">
        <f>SimRevY1*(1+SimGrowth)^1690</f>
        <v>4.4937397977287719E+74</v>
      </c>
      <c r="E1692" s="4">
        <f>FacDevRevY1*(1+FacDevGrowth)^1690</f>
        <v>2.246869898864386E+74</v>
      </c>
      <c r="F1692" s="4">
        <f t="shared" si="104"/>
        <v>6.7406096965931576E+74</v>
      </c>
      <c r="G1692" s="4">
        <f t="shared" si="105"/>
        <v>6.7406096965931576E+74</v>
      </c>
      <c r="H1692" s="4">
        <f>SalaryFTECount*SalaryPerFTE*(1+SalaryGrowth)^1690</f>
        <v>1.2839931584550269E+34</v>
      </c>
      <c r="I1692" s="4">
        <f>SimOpsY1*(1+SimOpsGrowth)^1690</f>
        <v>9.1889952634370671E+60</v>
      </c>
      <c r="J1692" s="4">
        <f>TrainDevY1*(1+TrainDevGrowth)^1690</f>
        <v>4.5944976317185335E+60</v>
      </c>
      <c r="K1692" s="4">
        <f>AdminY1*(1+AdminGrowth)^1690</f>
        <v>1.1693440041255211E+47</v>
      </c>
      <c r="L1692" s="4">
        <f t="shared" si="106"/>
        <v>1.3783492895155716E+61</v>
      </c>
      <c r="M1692" s="4">
        <f t="shared" si="107"/>
        <v>6.74060969659302E+74</v>
      </c>
    </row>
    <row r="1693" spans="1:13" x14ac:dyDescent="0.2">
      <c r="A1693" s="3">
        <f>StartYear+1691</f>
        <v>3716</v>
      </c>
      <c r="B1693" s="4">
        <f>FacultyFTE*HoursPerWeek*WeeksPerYear*RatePerHour*(1+PracticeGrowth)^1691</f>
        <v>1.9520782160224229E+41</v>
      </c>
      <c r="C1693" s="4">
        <f>StudentsY1*(1+StudentGrowth)^1691*CreditsPerStudent*TuitionPerCredit</f>
        <v>1.2200488850140143E+42</v>
      </c>
      <c r="D1693" s="4">
        <f>SimRevY1*(1+SimGrowth)^1691</f>
        <v>4.9431137775016511E+74</v>
      </c>
      <c r="E1693" s="4">
        <f>FacDevRevY1*(1+FacDevGrowth)^1691</f>
        <v>2.4715568887508255E+74</v>
      </c>
      <c r="F1693" s="4">
        <f t="shared" si="104"/>
        <v>7.4146706662524766E+74</v>
      </c>
      <c r="G1693" s="4">
        <f t="shared" si="105"/>
        <v>7.4146706662524766E+74</v>
      </c>
      <c r="H1693" s="4">
        <f>SalaryFTECount*SalaryPerFTE*(1+SalaryGrowth)^1691</f>
        <v>1.3353528847932282E+34</v>
      </c>
      <c r="I1693" s="4">
        <f>SimOpsY1*(1+SimOpsGrowth)^1691</f>
        <v>9.9241148845120336E+60</v>
      </c>
      <c r="J1693" s="4">
        <f>TrainDevY1*(1+TrainDevGrowth)^1691</f>
        <v>4.9620574422560168E+60</v>
      </c>
      <c r="K1693" s="4">
        <f>AdminY1*(1+AdminGrowth)^1691</f>
        <v>1.2395046443730524E+47</v>
      </c>
      <c r="L1693" s="4">
        <f t="shared" si="106"/>
        <v>1.4886172326768172E+61</v>
      </c>
      <c r="M1693" s="4">
        <f t="shared" si="107"/>
        <v>7.414670666252328E+74</v>
      </c>
    </row>
    <row r="1694" spans="1:13" x14ac:dyDescent="0.2">
      <c r="A1694" s="3">
        <f>StartYear+1692</f>
        <v>3717</v>
      </c>
      <c r="B1694" s="4">
        <f>FacultyFTE*HoursPerWeek*WeeksPerYear*RatePerHour*(1+PracticeGrowth)^1692</f>
        <v>2.0496821268235438E+41</v>
      </c>
      <c r="C1694" s="4">
        <f>StudentsY1*(1+StudentGrowth)^1692*CreditsPerStudent*TuitionPerCredit</f>
        <v>1.2810513292647148E+42</v>
      </c>
      <c r="D1694" s="4">
        <f>SimRevY1*(1+SimGrowth)^1692</f>
        <v>5.4374251552518154E+74</v>
      </c>
      <c r="E1694" s="4">
        <f>FacDevRevY1*(1+FacDevGrowth)^1692</f>
        <v>2.7187125776259077E+74</v>
      </c>
      <c r="F1694" s="4">
        <f t="shared" si="104"/>
        <v>8.1561377328777231E+74</v>
      </c>
      <c r="G1694" s="4">
        <f t="shared" si="105"/>
        <v>8.1561377328777231E+74</v>
      </c>
      <c r="H1694" s="4">
        <f>SalaryFTECount*SalaryPerFTE*(1+SalaryGrowth)^1692</f>
        <v>1.3887670001849574E+34</v>
      </c>
      <c r="I1694" s="4">
        <f>SimOpsY1*(1+SimOpsGrowth)^1692</f>
        <v>1.0718044075272998E+61</v>
      </c>
      <c r="J1694" s="4">
        <f>TrainDevY1*(1+TrainDevGrowth)^1692</f>
        <v>5.3590220376364989E+60</v>
      </c>
      <c r="K1694" s="4">
        <f>AdminY1*(1+AdminGrowth)^1692</f>
        <v>1.3138749230354358E+47</v>
      </c>
      <c r="L1694" s="4">
        <f t="shared" si="106"/>
        <v>1.6077066112909627E+61</v>
      </c>
      <c r="M1694" s="4">
        <f t="shared" si="107"/>
        <v>8.1561377328775624E+74</v>
      </c>
    </row>
    <row r="1695" spans="1:13" x14ac:dyDescent="0.2">
      <c r="A1695" s="3">
        <f>StartYear+1693</f>
        <v>3718</v>
      </c>
      <c r="B1695" s="4">
        <f>FacultyFTE*HoursPerWeek*WeeksPerYear*RatePerHour*(1+PracticeGrowth)^1693</f>
        <v>2.1521662331647217E+41</v>
      </c>
      <c r="C1695" s="4">
        <f>StudentsY1*(1+StudentGrowth)^1693*CreditsPerStudent*TuitionPerCredit</f>
        <v>1.345103895727951E+42</v>
      </c>
      <c r="D1695" s="4">
        <f>SimRevY1*(1+SimGrowth)^1693</f>
        <v>5.9811676707769963E+74</v>
      </c>
      <c r="E1695" s="4">
        <f>FacDevRevY1*(1+FacDevGrowth)^1693</f>
        <v>2.9905838353884982E+74</v>
      </c>
      <c r="F1695" s="4">
        <f t="shared" si="104"/>
        <v>8.9717515061654945E+74</v>
      </c>
      <c r="G1695" s="4">
        <f t="shared" si="105"/>
        <v>8.9717515061654945E+74</v>
      </c>
      <c r="H1695" s="4">
        <f>SalaryFTECount*SalaryPerFTE*(1+SalaryGrowth)^1693</f>
        <v>1.4443176801923561E+34</v>
      </c>
      <c r="I1695" s="4">
        <f>SimOpsY1*(1+SimOpsGrowth)^1693</f>
        <v>1.1575487601294837E+61</v>
      </c>
      <c r="J1695" s="4">
        <f>TrainDevY1*(1+TrainDevGrowth)^1693</f>
        <v>5.7877438006474187E+60</v>
      </c>
      <c r="K1695" s="4">
        <f>AdminY1*(1+AdminGrowth)^1693</f>
        <v>1.3927074184175619E+47</v>
      </c>
      <c r="L1695" s="4">
        <f t="shared" si="106"/>
        <v>1.7363231401942396E+61</v>
      </c>
      <c r="M1695" s="4">
        <f t="shared" si="107"/>
        <v>8.9717515061653207E+74</v>
      </c>
    </row>
    <row r="1696" spans="1:13" x14ac:dyDescent="0.2">
      <c r="A1696" s="3">
        <f>StartYear+1694</f>
        <v>3719</v>
      </c>
      <c r="B1696" s="4">
        <f>FacultyFTE*HoursPerWeek*WeeksPerYear*RatePerHour*(1+PracticeGrowth)^1694</f>
        <v>2.2597745448229571E+41</v>
      </c>
      <c r="C1696" s="4">
        <f>StudentsY1*(1+StudentGrowth)^1694*CreditsPerStudent*TuitionPerCredit</f>
        <v>1.4123590905143482E+42</v>
      </c>
      <c r="D1696" s="4">
        <f>SimRevY1*(1+SimGrowth)^1694</f>
        <v>6.5792844378546988E+74</v>
      </c>
      <c r="E1696" s="4">
        <f>FacDevRevY1*(1+FacDevGrowth)^1694</f>
        <v>3.2896422189273494E+74</v>
      </c>
      <c r="F1696" s="4">
        <f t="shared" si="104"/>
        <v>9.8689266567820476E+74</v>
      </c>
      <c r="G1696" s="4">
        <f t="shared" si="105"/>
        <v>9.8689266567820476E+74</v>
      </c>
      <c r="H1696" s="4">
        <f>SalaryFTECount*SalaryPerFTE*(1+SalaryGrowth)^1694</f>
        <v>1.5020903874000498E+34</v>
      </c>
      <c r="I1696" s="4">
        <f>SimOpsY1*(1+SimOpsGrowth)^1694</f>
        <v>1.2501526609398426E+61</v>
      </c>
      <c r="J1696" s="4">
        <f>TrainDevY1*(1+TrainDevGrowth)^1694</f>
        <v>6.2507633046992132E+60</v>
      </c>
      <c r="K1696" s="4">
        <f>AdminY1*(1+AdminGrowth)^1694</f>
        <v>1.4762698635226156E+47</v>
      </c>
      <c r="L1696" s="4">
        <f t="shared" si="106"/>
        <v>1.8752289914097786E+61</v>
      </c>
      <c r="M1696" s="4">
        <f t="shared" si="107"/>
        <v>9.8689266567818608E+74</v>
      </c>
    </row>
    <row r="1697" spans="1:13" x14ac:dyDescent="0.2">
      <c r="A1697" s="3">
        <f>StartYear+1695</f>
        <v>3720</v>
      </c>
      <c r="B1697" s="4">
        <f>FacultyFTE*HoursPerWeek*WeeksPerYear*RatePerHour*(1+PracticeGrowth)^1695</f>
        <v>2.3727632720641058E+41</v>
      </c>
      <c r="C1697" s="4">
        <f>StudentsY1*(1+StudentGrowth)^1695*CreditsPerStudent*TuitionPerCredit</f>
        <v>1.4829770450400662E+42</v>
      </c>
      <c r="D1697" s="4">
        <f>SimRevY1*(1+SimGrowth)^1695</f>
        <v>7.2372128816401691E+74</v>
      </c>
      <c r="E1697" s="4">
        <f>FacDevRevY1*(1+FacDevGrowth)^1695</f>
        <v>3.6186064408200846E+74</v>
      </c>
      <c r="F1697" s="4">
        <f t="shared" si="104"/>
        <v>1.0855819322460254E+75</v>
      </c>
      <c r="G1697" s="4">
        <f t="shared" si="105"/>
        <v>1.0855819322460254E+75</v>
      </c>
      <c r="H1697" s="4">
        <f>SalaryFTECount*SalaryPerFTE*(1+SalaryGrowth)^1695</f>
        <v>1.562174002896052E+34</v>
      </c>
      <c r="I1697" s="4">
        <f>SimOpsY1*(1+SimOpsGrowth)^1695</f>
        <v>1.3501648738150303E+61</v>
      </c>
      <c r="J1697" s="4">
        <f>TrainDevY1*(1+TrainDevGrowth)^1695</f>
        <v>6.7508243690751516E+60</v>
      </c>
      <c r="K1697" s="4">
        <f>AdminY1*(1+AdminGrowth)^1695</f>
        <v>1.5648460553339729E+47</v>
      </c>
      <c r="L1697" s="4">
        <f t="shared" si="106"/>
        <v>2.0252473107225613E+61</v>
      </c>
      <c r="M1697" s="4">
        <f t="shared" si="107"/>
        <v>1.0855819322460051E+75</v>
      </c>
    </row>
    <row r="1698" spans="1:13" x14ac:dyDescent="0.2">
      <c r="A1698" s="3">
        <f>StartYear+1696</f>
        <v>3721</v>
      </c>
      <c r="B1698" s="4">
        <f>FacultyFTE*HoursPerWeek*WeeksPerYear*RatePerHour*(1+PracticeGrowth)^1696</f>
        <v>2.4914014356673106E+41</v>
      </c>
      <c r="C1698" s="4">
        <f>StudentsY1*(1+StudentGrowth)^1696*CreditsPerStudent*TuitionPerCredit</f>
        <v>1.5571258972920691E+42</v>
      </c>
      <c r="D1698" s="4">
        <f>SimRevY1*(1+SimGrowth)^1696</f>
        <v>7.9609341698041864E+74</v>
      </c>
      <c r="E1698" s="4">
        <f>FacDevRevY1*(1+FacDevGrowth)^1696</f>
        <v>3.9804670849020932E+74</v>
      </c>
      <c r="F1698" s="4">
        <f t="shared" si="104"/>
        <v>1.194140125470628E+75</v>
      </c>
      <c r="G1698" s="4">
        <f t="shared" si="105"/>
        <v>1.194140125470628E+75</v>
      </c>
      <c r="H1698" s="4">
        <f>SalaryFTECount*SalaryPerFTE*(1+SalaryGrowth)^1696</f>
        <v>1.6246609630118945E+34</v>
      </c>
      <c r="I1698" s="4">
        <f>SimOpsY1*(1+SimOpsGrowth)^1696</f>
        <v>1.4581780637202326E+61</v>
      </c>
      <c r="J1698" s="4">
        <f>TrainDevY1*(1+TrainDevGrowth)^1696</f>
        <v>7.290890318601163E+60</v>
      </c>
      <c r="K1698" s="4">
        <f>AdminY1*(1+AdminGrowth)^1696</f>
        <v>1.6587368186540107E+47</v>
      </c>
      <c r="L1698" s="4">
        <f t="shared" si="106"/>
        <v>2.1872670955803653E+61</v>
      </c>
      <c r="M1698" s="4">
        <f t="shared" si="107"/>
        <v>1.1941401254706061E+75</v>
      </c>
    </row>
    <row r="1699" spans="1:13" x14ac:dyDescent="0.2">
      <c r="A1699" s="3">
        <f>StartYear+1697</f>
        <v>3722</v>
      </c>
      <c r="B1699" s="4">
        <f>FacultyFTE*HoursPerWeek*WeeksPerYear*RatePerHour*(1+PracticeGrowth)^1697</f>
        <v>2.6159715074506765E+41</v>
      </c>
      <c r="C1699" s="4">
        <f>StudentsY1*(1+StudentGrowth)^1697*CreditsPerStudent*TuitionPerCredit</f>
        <v>1.6349821921566726E+42</v>
      </c>
      <c r="D1699" s="4">
        <f>SimRevY1*(1+SimGrowth)^1697</f>
        <v>8.7570275867846049E+74</v>
      </c>
      <c r="E1699" s="4">
        <f>FacDevRevY1*(1+FacDevGrowth)^1697</f>
        <v>4.3785137933923024E+74</v>
      </c>
      <c r="F1699" s="4">
        <f t="shared" si="104"/>
        <v>1.3135541380176908E+75</v>
      </c>
      <c r="G1699" s="4">
        <f t="shared" si="105"/>
        <v>1.3135541380176908E+75</v>
      </c>
      <c r="H1699" s="4">
        <f>SalaryFTECount*SalaryPerFTE*(1+SalaryGrowth)^1697</f>
        <v>1.6896474015323698E+34</v>
      </c>
      <c r="I1699" s="4">
        <f>SimOpsY1*(1+SimOpsGrowth)^1697</f>
        <v>1.5748323088178514E+61</v>
      </c>
      <c r="J1699" s="4">
        <f>TrainDevY1*(1+TrainDevGrowth)^1697</f>
        <v>7.8741615440892569E+60</v>
      </c>
      <c r="K1699" s="4">
        <f>AdminY1*(1+AdminGrowth)^1697</f>
        <v>1.7582610277732517E+47</v>
      </c>
      <c r="L1699" s="4">
        <f t="shared" si="106"/>
        <v>2.3622484632267946E+61</v>
      </c>
      <c r="M1699" s="4">
        <f t="shared" si="107"/>
        <v>1.3135541380176671E+75</v>
      </c>
    </row>
    <row r="1700" spans="1:13" x14ac:dyDescent="0.2">
      <c r="A1700" s="3">
        <f>StartYear+1698</f>
        <v>3723</v>
      </c>
      <c r="B1700" s="4">
        <f>FacultyFTE*HoursPerWeek*WeeksPerYear*RatePerHour*(1+PracticeGrowth)^1698</f>
        <v>2.7467700828232098E+41</v>
      </c>
      <c r="C1700" s="4">
        <f>StudentsY1*(1+StudentGrowth)^1698*CreditsPerStudent*TuitionPerCredit</f>
        <v>1.7167313017645059E+42</v>
      </c>
      <c r="D1700" s="4">
        <f>SimRevY1*(1+SimGrowth)^1698</f>
        <v>9.6327303454630651E+74</v>
      </c>
      <c r="E1700" s="4">
        <f>FacDevRevY1*(1+FacDevGrowth)^1698</f>
        <v>4.8163651727315325E+74</v>
      </c>
      <c r="F1700" s="4">
        <f t="shared" si="104"/>
        <v>1.4449095518194597E+75</v>
      </c>
      <c r="G1700" s="4">
        <f t="shared" si="105"/>
        <v>1.4449095518194597E+75</v>
      </c>
      <c r="H1700" s="4">
        <f>SalaryFTECount*SalaryPerFTE*(1+SalaryGrowth)^1698</f>
        <v>1.7572332975936647E+34</v>
      </c>
      <c r="I1700" s="4">
        <f>SimOpsY1*(1+SimOpsGrowth)^1698</f>
        <v>1.7008188935232791E+61</v>
      </c>
      <c r="J1700" s="4">
        <f>TrainDevY1*(1+TrainDevGrowth)^1698</f>
        <v>8.5040944676163956E+60</v>
      </c>
      <c r="K1700" s="4">
        <f>AdminY1*(1+AdminGrowth)^1698</f>
        <v>1.8637566894396467E+47</v>
      </c>
      <c r="L1700" s="4">
        <f t="shared" si="106"/>
        <v>2.5512283402849372E+61</v>
      </c>
      <c r="M1700" s="4">
        <f t="shared" si="107"/>
        <v>1.4449095518194342E+75</v>
      </c>
    </row>
    <row r="1701" spans="1:13" x14ac:dyDescent="0.2">
      <c r="A1701" s="3">
        <f>StartYear+1699</f>
        <v>3724</v>
      </c>
      <c r="B1701" s="4">
        <f>FacultyFTE*HoursPerWeek*WeeksPerYear*RatePerHour*(1+PracticeGrowth)^1699</f>
        <v>2.8841085869643706E+41</v>
      </c>
      <c r="C1701" s="4">
        <f>StudentsY1*(1+StudentGrowth)^1699*CreditsPerStudent*TuitionPerCredit</f>
        <v>1.8025678668527316E+42</v>
      </c>
      <c r="D1701" s="4">
        <f>SimRevY1*(1+SimGrowth)^1699</f>
        <v>1.0596003380009375E+75</v>
      </c>
      <c r="E1701" s="4">
        <f>FacDevRevY1*(1+FacDevGrowth)^1699</f>
        <v>5.2980016900046875E+74</v>
      </c>
      <c r="F1701" s="4">
        <f t="shared" si="104"/>
        <v>1.5894005070014062E+75</v>
      </c>
      <c r="G1701" s="4">
        <f t="shared" si="105"/>
        <v>1.5894005070014062E+75</v>
      </c>
      <c r="H1701" s="4">
        <f>SalaryFTECount*SalaryPerFTE*(1+SalaryGrowth)^1699</f>
        <v>1.8275226294974118E+34</v>
      </c>
      <c r="I1701" s="4">
        <f>SimOpsY1*(1+SimOpsGrowth)^1699</f>
        <v>1.836884405005142E+61</v>
      </c>
      <c r="J1701" s="4">
        <f>TrainDevY1*(1+TrainDevGrowth)^1699</f>
        <v>9.18442202502571E+60</v>
      </c>
      <c r="K1701" s="4">
        <f>AdminY1*(1+AdminGrowth)^1699</f>
        <v>1.975582090806026E+47</v>
      </c>
      <c r="L1701" s="4">
        <f t="shared" si="106"/>
        <v>2.7553266075077331E+61</v>
      </c>
      <c r="M1701" s="4">
        <f t="shared" si="107"/>
        <v>1.5894005070013786E+75</v>
      </c>
    </row>
    <row r="1702" spans="1:13" x14ac:dyDescent="0.2">
      <c r="A1702" s="3">
        <f>StartYear+1700</f>
        <v>3725</v>
      </c>
      <c r="B1702" s="4">
        <f>FacultyFTE*HoursPerWeek*WeeksPerYear*RatePerHour*(1+PracticeGrowth)^1700</f>
        <v>3.0283140163125893E+41</v>
      </c>
      <c r="C1702" s="4">
        <f>StudentsY1*(1+StudentGrowth)^1700*CreditsPerStudent*TuitionPerCredit</f>
        <v>1.8926962601953682E+42</v>
      </c>
      <c r="D1702" s="4">
        <f>SimRevY1*(1+SimGrowth)^1700</f>
        <v>1.1655603718010312E+75</v>
      </c>
      <c r="E1702" s="4">
        <f>FacDevRevY1*(1+FacDevGrowth)^1700</f>
        <v>5.8278018590051562E+74</v>
      </c>
      <c r="F1702" s="4">
        <f t="shared" si="104"/>
        <v>1.7483405577015468E+75</v>
      </c>
      <c r="G1702" s="4">
        <f t="shared" si="105"/>
        <v>1.7483405577015468E+75</v>
      </c>
      <c r="H1702" s="4">
        <f>SalaryFTECount*SalaryPerFTE*(1+SalaryGrowth)^1700</f>
        <v>1.9006235346773082E+34</v>
      </c>
      <c r="I1702" s="4">
        <f>SimOpsY1*(1+SimOpsGrowth)^1700</f>
        <v>1.9838351574055533E+61</v>
      </c>
      <c r="J1702" s="4">
        <f>TrainDevY1*(1+TrainDevGrowth)^1700</f>
        <v>9.9191757870277665E+60</v>
      </c>
      <c r="K1702" s="4">
        <f>AdminY1*(1+AdminGrowth)^1700</f>
        <v>2.0941170162543878E+47</v>
      </c>
      <c r="L1702" s="4">
        <f t="shared" si="106"/>
        <v>2.9757527361083509E+61</v>
      </c>
      <c r="M1702" s="4">
        <f t="shared" si="107"/>
        <v>1.7483405577015171E+75</v>
      </c>
    </row>
    <row r="1703" spans="1:13" x14ac:dyDescent="0.2">
      <c r="A1703" s="3">
        <f>StartYear+1701</f>
        <v>3726</v>
      </c>
      <c r="B1703" s="4">
        <f>FacultyFTE*HoursPerWeek*WeeksPerYear*RatePerHour*(1+PracticeGrowth)^1701</f>
        <v>3.179729717128219E+41</v>
      </c>
      <c r="C1703" s="4">
        <f>StudentsY1*(1+StudentGrowth)^1701*CreditsPerStudent*TuitionPerCredit</f>
        <v>1.9873310732051366E+42</v>
      </c>
      <c r="D1703" s="4">
        <f>SimRevY1*(1+SimGrowth)^1701</f>
        <v>1.2821164089811343E+75</v>
      </c>
      <c r="E1703" s="4">
        <f>FacDevRevY1*(1+FacDevGrowth)^1701</f>
        <v>6.4105820449056714E+74</v>
      </c>
      <c r="F1703" s="4">
        <f t="shared" si="104"/>
        <v>1.9231746134717016E+75</v>
      </c>
      <c r="G1703" s="4">
        <f t="shared" si="105"/>
        <v>1.9231746134717016E+75</v>
      </c>
      <c r="H1703" s="4">
        <f>SalaryFTECount*SalaryPerFTE*(1+SalaryGrowth)^1701</f>
        <v>1.9766484760644008E+34</v>
      </c>
      <c r="I1703" s="4">
        <f>SimOpsY1*(1+SimOpsGrowth)^1701</f>
        <v>2.1425419699979977E+61</v>
      </c>
      <c r="J1703" s="4">
        <f>TrainDevY1*(1+TrainDevGrowth)^1701</f>
        <v>1.0712709849989988E+61</v>
      </c>
      <c r="K1703" s="4">
        <f>AdminY1*(1+AdminGrowth)^1701</f>
        <v>2.2197640372296512E+47</v>
      </c>
      <c r="L1703" s="4">
        <f t="shared" si="106"/>
        <v>3.2138129549970187E+61</v>
      </c>
      <c r="M1703" s="4">
        <f t="shared" si="107"/>
        <v>1.9231746134716695E+75</v>
      </c>
    </row>
    <row r="1704" spans="1:13" x14ac:dyDescent="0.2">
      <c r="A1704" s="3">
        <f>StartYear+1702</f>
        <v>3727</v>
      </c>
      <c r="B1704" s="4">
        <f>FacultyFTE*HoursPerWeek*WeeksPerYear*RatePerHour*(1+PracticeGrowth)^1702</f>
        <v>3.3387162029846289E+41</v>
      </c>
      <c r="C1704" s="4">
        <f>StudentsY1*(1+StudentGrowth)^1702*CreditsPerStudent*TuitionPerCredit</f>
        <v>2.0866976268653933E+42</v>
      </c>
      <c r="D1704" s="4">
        <f>SimRevY1*(1+SimGrowth)^1702</f>
        <v>1.4103280498792481E+75</v>
      </c>
      <c r="E1704" s="4">
        <f>FacDevRevY1*(1+FacDevGrowth)^1702</f>
        <v>7.0516402493962405E+74</v>
      </c>
      <c r="F1704" s="4">
        <f t="shared" si="104"/>
        <v>2.1154920748188723E+75</v>
      </c>
      <c r="G1704" s="4">
        <f t="shared" si="105"/>
        <v>2.1154920748188723E+75</v>
      </c>
      <c r="H1704" s="4">
        <f>SalaryFTECount*SalaryPerFTE*(1+SalaryGrowth)^1702</f>
        <v>2.0557144151069765E+34</v>
      </c>
      <c r="I1704" s="4">
        <f>SimOpsY1*(1+SimOpsGrowth)^1702</f>
        <v>2.3139453275978379E+61</v>
      </c>
      <c r="J1704" s="4">
        <f>TrainDevY1*(1+TrainDevGrowth)^1702</f>
        <v>1.1569726637989189E+61</v>
      </c>
      <c r="K1704" s="4">
        <f>AdminY1*(1+AdminGrowth)^1702</f>
        <v>2.3529498794634308E+47</v>
      </c>
      <c r="L1704" s="4">
        <f t="shared" si="106"/>
        <v>3.4709179913967805E+61</v>
      </c>
      <c r="M1704" s="4">
        <f t="shared" si="107"/>
        <v>2.1154920748188377E+75</v>
      </c>
    </row>
    <row r="1705" spans="1:13" x14ac:dyDescent="0.2">
      <c r="A1705" s="3">
        <f>StartYear+1703</f>
        <v>3728</v>
      </c>
      <c r="B1705" s="4">
        <f>FacultyFTE*HoursPerWeek*WeeksPerYear*RatePerHour*(1+PracticeGrowth)^1703</f>
        <v>3.5056520131338614E+41</v>
      </c>
      <c r="C1705" s="4">
        <f>StudentsY1*(1+StudentGrowth)^1703*CreditsPerStudent*TuitionPerCredit</f>
        <v>2.1910325082086637E+42</v>
      </c>
      <c r="D1705" s="4">
        <f>SimRevY1*(1+SimGrowth)^1703</f>
        <v>1.551360854867173E+75</v>
      </c>
      <c r="E1705" s="4">
        <f>FacDevRevY1*(1+FacDevGrowth)^1703</f>
        <v>7.7568042743358649E+74</v>
      </c>
      <c r="F1705" s="4">
        <f t="shared" si="104"/>
        <v>2.3270412823007594E+75</v>
      </c>
      <c r="G1705" s="4">
        <f t="shared" si="105"/>
        <v>2.3270412823007594E+75</v>
      </c>
      <c r="H1705" s="4">
        <f>SalaryFTECount*SalaryPerFTE*(1+SalaryGrowth)^1703</f>
        <v>2.1379429917112555E+34</v>
      </c>
      <c r="I1705" s="4">
        <f>SimOpsY1*(1+SimOpsGrowth)^1703</f>
        <v>2.4990609538056646E+61</v>
      </c>
      <c r="J1705" s="4">
        <f>TrainDevY1*(1+TrainDevGrowth)^1703</f>
        <v>1.2495304769028323E+61</v>
      </c>
      <c r="K1705" s="4">
        <f>AdminY1*(1+AdminGrowth)^1703</f>
        <v>2.4941268722312364E+47</v>
      </c>
      <c r="L1705" s="4">
        <f t="shared" si="106"/>
        <v>3.748591430708522E+61</v>
      </c>
      <c r="M1705" s="4">
        <f t="shared" si="107"/>
        <v>2.327041282300722E+75</v>
      </c>
    </row>
    <row r="1706" spans="1:13" x14ac:dyDescent="0.2">
      <c r="A1706" s="3">
        <f>StartYear+1704</f>
        <v>3729</v>
      </c>
      <c r="B1706" s="4">
        <f>FacultyFTE*HoursPerWeek*WeeksPerYear*RatePerHour*(1+PracticeGrowth)^1704</f>
        <v>3.6809346137905538E+41</v>
      </c>
      <c r="C1706" s="4">
        <f>StudentsY1*(1+StudentGrowth)^1704*CreditsPerStudent*TuitionPerCredit</f>
        <v>2.3005841336190962E+42</v>
      </c>
      <c r="D1706" s="4">
        <f>SimRevY1*(1+SimGrowth)^1704</f>
        <v>1.7064969403538896E+75</v>
      </c>
      <c r="E1706" s="4">
        <f>FacDevRevY1*(1+FacDevGrowth)^1704</f>
        <v>8.5324847017694482E+74</v>
      </c>
      <c r="F1706" s="4">
        <f t="shared" si="104"/>
        <v>2.5597454105308344E+75</v>
      </c>
      <c r="G1706" s="4">
        <f t="shared" si="105"/>
        <v>2.5597454105308344E+75</v>
      </c>
      <c r="H1706" s="4">
        <f>SalaryFTECount*SalaryPerFTE*(1+SalaryGrowth)^1704</f>
        <v>2.2234607113797066E+34</v>
      </c>
      <c r="I1706" s="4">
        <f>SimOpsY1*(1+SimOpsGrowth)^1704</f>
        <v>2.6989858301101183E+61</v>
      </c>
      <c r="J1706" s="4">
        <f>TrainDevY1*(1+TrainDevGrowth)^1704</f>
        <v>1.3494929150550592E+61</v>
      </c>
      <c r="K1706" s="4">
        <f>AdminY1*(1+AdminGrowth)^1704</f>
        <v>2.6437744845651102E+47</v>
      </c>
      <c r="L1706" s="4">
        <f t="shared" si="106"/>
        <v>4.0484787451652037E+61</v>
      </c>
      <c r="M1706" s="4">
        <f t="shared" si="107"/>
        <v>2.5597454105307938E+75</v>
      </c>
    </row>
    <row r="1707" spans="1:13" x14ac:dyDescent="0.2">
      <c r="A1707" s="3">
        <f>StartYear+1705</f>
        <v>3730</v>
      </c>
      <c r="B1707" s="4">
        <f>FacultyFTE*HoursPerWeek*WeeksPerYear*RatePerHour*(1+PracticeGrowth)^1705</f>
        <v>3.8649813444800818E+41</v>
      </c>
      <c r="C1707" s="4">
        <f>StudentsY1*(1+StudentGrowth)^1705*CreditsPerStudent*TuitionPerCredit</f>
        <v>2.415613340300051E+42</v>
      </c>
      <c r="D1707" s="4">
        <f>SimRevY1*(1+SimGrowth)^1705</f>
        <v>1.8771466343892792E+75</v>
      </c>
      <c r="E1707" s="4">
        <f>FacDevRevY1*(1+FacDevGrowth)^1705</f>
        <v>9.3857331719463962E+74</v>
      </c>
      <c r="F1707" s="4">
        <f t="shared" si="104"/>
        <v>2.8157199515839187E+75</v>
      </c>
      <c r="G1707" s="4">
        <f t="shared" si="105"/>
        <v>2.8157199515839187E+75</v>
      </c>
      <c r="H1707" s="4">
        <f>SalaryFTECount*SalaryPerFTE*(1+SalaryGrowth)^1705</f>
        <v>2.3123991398348946E+34</v>
      </c>
      <c r="I1707" s="4">
        <f>SimOpsY1*(1+SimOpsGrowth)^1705</f>
        <v>2.9149046965189283E+61</v>
      </c>
      <c r="J1707" s="4">
        <f>TrainDevY1*(1+TrainDevGrowth)^1705</f>
        <v>1.4574523482594642E+61</v>
      </c>
      <c r="K1707" s="4">
        <f>AdminY1*(1+AdminGrowth)^1705</f>
        <v>2.8024009536390167E+47</v>
      </c>
      <c r="L1707" s="4">
        <f t="shared" si="106"/>
        <v>4.3723570447784204E+61</v>
      </c>
      <c r="M1707" s="4">
        <f t="shared" si="107"/>
        <v>2.8157199515838749E+75</v>
      </c>
    </row>
    <row r="1708" spans="1:13" x14ac:dyDescent="0.2">
      <c r="A1708" s="3">
        <f>StartYear+1706</f>
        <v>3731</v>
      </c>
      <c r="B1708" s="4">
        <f>FacultyFTE*HoursPerWeek*WeeksPerYear*RatePerHour*(1+PracticeGrowth)^1706</f>
        <v>4.0582304117040854E+41</v>
      </c>
      <c r="C1708" s="4">
        <f>StudentsY1*(1+StudentGrowth)^1706*CreditsPerStudent*TuitionPerCredit</f>
        <v>2.5363940073150534E+42</v>
      </c>
      <c r="D1708" s="4">
        <f>SimRevY1*(1+SimGrowth)^1706</f>
        <v>2.064861297828207E+75</v>
      </c>
      <c r="E1708" s="4">
        <f>FacDevRevY1*(1+FacDevGrowth)^1706</f>
        <v>1.0324306489141035E+75</v>
      </c>
      <c r="F1708" s="4">
        <f t="shared" si="104"/>
        <v>3.0972919467423104E+75</v>
      </c>
      <c r="G1708" s="4">
        <f t="shared" si="105"/>
        <v>3.0972919467423104E+75</v>
      </c>
      <c r="H1708" s="4">
        <f>SalaryFTECount*SalaryPerFTE*(1+SalaryGrowth)^1706</f>
        <v>2.4048951054282898E+34</v>
      </c>
      <c r="I1708" s="4">
        <f>SimOpsY1*(1+SimOpsGrowth)^1706</f>
        <v>3.1480970722404419E+61</v>
      </c>
      <c r="J1708" s="4">
        <f>TrainDevY1*(1+TrainDevGrowth)^1706</f>
        <v>1.574048536120221E+61</v>
      </c>
      <c r="K1708" s="4">
        <f>AdminY1*(1+AdminGrowth)^1706</f>
        <v>2.9705450108573583E+47</v>
      </c>
      <c r="L1708" s="4">
        <f t="shared" si="106"/>
        <v>4.7221456083606926E+61</v>
      </c>
      <c r="M1708" s="4">
        <f t="shared" si="107"/>
        <v>3.097291946742263E+75</v>
      </c>
    </row>
    <row r="1709" spans="1:13" x14ac:dyDescent="0.2">
      <c r="A1709" s="3">
        <f>StartYear+1707</f>
        <v>3732</v>
      </c>
      <c r="B1709" s="4">
        <f>FacultyFTE*HoursPerWeek*WeeksPerYear*RatePerHour*(1+PracticeGrowth)^1707</f>
        <v>4.2611419322892906E+41</v>
      </c>
      <c r="C1709" s="4">
        <f>StudentsY1*(1+StudentGrowth)^1707*CreditsPerStudent*TuitionPerCredit</f>
        <v>2.6632137076808065E+42</v>
      </c>
      <c r="D1709" s="4">
        <f>SimRevY1*(1+SimGrowth)^1707</f>
        <v>2.2713474276110283E+75</v>
      </c>
      <c r="E1709" s="4">
        <f>FacDevRevY1*(1+FacDevGrowth)^1707</f>
        <v>1.1356737138055141E+75</v>
      </c>
      <c r="F1709" s="4">
        <f t="shared" si="104"/>
        <v>3.4070211414165426E+75</v>
      </c>
      <c r="G1709" s="4">
        <f t="shared" si="105"/>
        <v>3.4070211414165426E+75</v>
      </c>
      <c r="H1709" s="4">
        <f>SalaryFTECount*SalaryPerFTE*(1+SalaryGrowth)^1707</f>
        <v>2.501090909645422E+34</v>
      </c>
      <c r="I1709" s="4">
        <f>SimOpsY1*(1+SimOpsGrowth)^1707</f>
        <v>3.3999448380196771E+61</v>
      </c>
      <c r="J1709" s="4">
        <f>TrainDevY1*(1+TrainDevGrowth)^1707</f>
        <v>1.6999724190098385E+61</v>
      </c>
      <c r="K1709" s="4">
        <f>AdminY1*(1+AdminGrowth)^1707</f>
        <v>3.1487777115088004E+47</v>
      </c>
      <c r="L1709" s="4">
        <f t="shared" si="106"/>
        <v>5.099917257029547E+61</v>
      </c>
      <c r="M1709" s="4">
        <f t="shared" si="107"/>
        <v>3.4070211414164916E+75</v>
      </c>
    </row>
    <row r="1710" spans="1:13" x14ac:dyDescent="0.2">
      <c r="A1710" s="3">
        <f>StartYear+1708</f>
        <v>3733</v>
      </c>
      <c r="B1710" s="4">
        <f>FacultyFTE*HoursPerWeek*WeeksPerYear*RatePerHour*(1+PracticeGrowth)^1708</f>
        <v>4.4741990289037553E+41</v>
      </c>
      <c r="C1710" s="4">
        <f>StudentsY1*(1+StudentGrowth)^1708*CreditsPerStudent*TuitionPerCredit</f>
        <v>2.796374393064847E+42</v>
      </c>
      <c r="D1710" s="4">
        <f>SimRevY1*(1+SimGrowth)^1708</f>
        <v>2.498482170372131E+75</v>
      </c>
      <c r="E1710" s="4">
        <f>FacDevRevY1*(1+FacDevGrowth)^1708</f>
        <v>1.2492410851860655E+75</v>
      </c>
      <c r="F1710" s="4">
        <f t="shared" si="104"/>
        <v>3.7477232555581961E+75</v>
      </c>
      <c r="G1710" s="4">
        <f t="shared" si="105"/>
        <v>3.7477232555581961E+75</v>
      </c>
      <c r="H1710" s="4">
        <f>SalaryFTECount*SalaryPerFTE*(1+SalaryGrowth)^1708</f>
        <v>2.6011345460312389E+34</v>
      </c>
      <c r="I1710" s="4">
        <f>SimOpsY1*(1+SimOpsGrowth)^1708</f>
        <v>3.6719404250612517E+61</v>
      </c>
      <c r="J1710" s="4">
        <f>TrainDevY1*(1+TrainDevGrowth)^1708</f>
        <v>1.8359702125306258E+61</v>
      </c>
      <c r="K1710" s="4">
        <f>AdminY1*(1+AdminGrowth)^1708</f>
        <v>3.3377043741993282E+47</v>
      </c>
      <c r="L1710" s="4">
        <f t="shared" si="106"/>
        <v>5.5079106375919109E+61</v>
      </c>
      <c r="M1710" s="4">
        <f t="shared" si="107"/>
        <v>3.7477232555581406E+75</v>
      </c>
    </row>
    <row r="1711" spans="1:13" x14ac:dyDescent="0.2">
      <c r="A1711" s="3">
        <f>StartYear+1709</f>
        <v>3734</v>
      </c>
      <c r="B1711" s="4">
        <f>FacultyFTE*HoursPerWeek*WeeksPerYear*RatePerHour*(1+PracticeGrowth)^1709</f>
        <v>4.6979089803489442E+41</v>
      </c>
      <c r="C1711" s="4">
        <f>StudentsY1*(1+StudentGrowth)^1709*CreditsPerStudent*TuitionPerCredit</f>
        <v>2.9361931127180898E+42</v>
      </c>
      <c r="D1711" s="4">
        <f>SimRevY1*(1+SimGrowth)^1709</f>
        <v>2.7483303874093443E+75</v>
      </c>
      <c r="E1711" s="4">
        <f>FacDevRevY1*(1+FacDevGrowth)^1709</f>
        <v>1.3741651937046722E+75</v>
      </c>
      <c r="F1711" s="4">
        <f t="shared" si="104"/>
        <v>4.1224955811140165E+75</v>
      </c>
      <c r="G1711" s="4">
        <f t="shared" si="105"/>
        <v>4.1224955811140165E+75</v>
      </c>
      <c r="H1711" s="4">
        <f>SalaryFTECount*SalaryPerFTE*(1+SalaryGrowth)^1709</f>
        <v>2.7051799278724892E+34</v>
      </c>
      <c r="I1711" s="4">
        <f>SimOpsY1*(1+SimOpsGrowth)^1709</f>
        <v>3.9656956590661525E+61</v>
      </c>
      <c r="J1711" s="4">
        <f>TrainDevY1*(1+TrainDevGrowth)^1709</f>
        <v>1.9828478295330762E+61</v>
      </c>
      <c r="K1711" s="4">
        <f>AdminY1*(1+AdminGrowth)^1709</f>
        <v>3.5379666366512884E+47</v>
      </c>
      <c r="L1711" s="4">
        <f t="shared" si="106"/>
        <v>5.9485434885992644E+61</v>
      </c>
      <c r="M1711" s="4">
        <f t="shared" si="107"/>
        <v>4.122495581113957E+75</v>
      </c>
    </row>
    <row r="1712" spans="1:13" x14ac:dyDescent="0.2">
      <c r="A1712" s="3">
        <f>StartYear+1710</f>
        <v>3735</v>
      </c>
      <c r="B1712" s="4">
        <f>FacultyFTE*HoursPerWeek*WeeksPerYear*RatePerHour*(1+PracticeGrowth)^1710</f>
        <v>4.9328044293663903E+41</v>
      </c>
      <c r="C1712" s="4">
        <f>StudentsY1*(1+StudentGrowth)^1710*CreditsPerStudent*TuitionPerCredit</f>
        <v>3.0830027683539941E+42</v>
      </c>
      <c r="D1712" s="4">
        <f>SimRevY1*(1+SimGrowth)^1710</f>
        <v>3.0231634261502791E+75</v>
      </c>
      <c r="E1712" s="4">
        <f>FacDevRevY1*(1+FacDevGrowth)^1710</f>
        <v>1.5115817130751395E+75</v>
      </c>
      <c r="F1712" s="4">
        <f t="shared" si="104"/>
        <v>4.5347451392254186E+75</v>
      </c>
      <c r="G1712" s="4">
        <f t="shared" si="105"/>
        <v>4.5347451392254186E+75</v>
      </c>
      <c r="H1712" s="4">
        <f>SalaryFTECount*SalaryPerFTE*(1+SalaryGrowth)^1710</f>
        <v>2.813387124987388E+34</v>
      </c>
      <c r="I1712" s="4">
        <f>SimOpsY1*(1+SimOpsGrowth)^1710</f>
        <v>4.2829513117914451E+61</v>
      </c>
      <c r="J1712" s="4">
        <f>TrainDevY1*(1+TrainDevGrowth)^1710</f>
        <v>2.1414756558957225E+61</v>
      </c>
      <c r="K1712" s="4">
        <f>AdminY1*(1+AdminGrowth)^1710</f>
        <v>3.7502446348503662E+47</v>
      </c>
      <c r="L1712" s="4">
        <f t="shared" si="106"/>
        <v>6.4244269676872056E+61</v>
      </c>
      <c r="M1712" s="4">
        <f t="shared" si="107"/>
        <v>4.5347451392253543E+75</v>
      </c>
    </row>
    <row r="1713" spans="1:13" x14ac:dyDescent="0.2">
      <c r="A1713" s="3">
        <f>StartYear+1711</f>
        <v>3736</v>
      </c>
      <c r="B1713" s="4">
        <f>FacultyFTE*HoursPerWeek*WeeksPerYear*RatePerHour*(1+PracticeGrowth)^1711</f>
        <v>5.1794446508347105E+41</v>
      </c>
      <c r="C1713" s="4">
        <f>StudentsY1*(1+StudentGrowth)^1711*CreditsPerStudent*TuitionPerCredit</f>
        <v>3.2371529067716938E+42</v>
      </c>
      <c r="D1713" s="4">
        <f>SimRevY1*(1+SimGrowth)^1711</f>
        <v>3.3254797687653074E+75</v>
      </c>
      <c r="E1713" s="4">
        <f>FacDevRevY1*(1+FacDevGrowth)^1711</f>
        <v>1.6627398843826537E+75</v>
      </c>
      <c r="F1713" s="4">
        <f t="shared" si="104"/>
        <v>4.9882196531479616E+75</v>
      </c>
      <c r="G1713" s="4">
        <f t="shared" si="105"/>
        <v>4.9882196531479616E+75</v>
      </c>
      <c r="H1713" s="4">
        <f>SalaryFTECount*SalaryPerFTE*(1+SalaryGrowth)^1711</f>
        <v>2.9259226099868841E+34</v>
      </c>
      <c r="I1713" s="4">
        <f>SimOpsY1*(1+SimOpsGrowth)^1711</f>
        <v>4.6255874167347605E+61</v>
      </c>
      <c r="J1713" s="4">
        <f>TrainDevY1*(1+TrainDevGrowth)^1711</f>
        <v>2.3127937083673803E+61</v>
      </c>
      <c r="K1713" s="4">
        <f>AdminY1*(1+AdminGrowth)^1711</f>
        <v>3.9752593129413886E+47</v>
      </c>
      <c r="L1713" s="4">
        <f t="shared" si="106"/>
        <v>6.9383811251021808E+61</v>
      </c>
      <c r="M1713" s="4">
        <f t="shared" si="107"/>
        <v>4.9882196531478925E+75</v>
      </c>
    </row>
    <row r="1714" spans="1:13" x14ac:dyDescent="0.2">
      <c r="A1714" s="3">
        <f>StartYear+1712</f>
        <v>3737</v>
      </c>
      <c r="B1714" s="4">
        <f>FacultyFTE*HoursPerWeek*WeeksPerYear*RatePerHour*(1+PracticeGrowth)^1712</f>
        <v>5.4384168833764453E+41</v>
      </c>
      <c r="C1714" s="4">
        <f>StudentsY1*(1+StudentGrowth)^1712*CreditsPerStudent*TuitionPerCredit</f>
        <v>3.3990105521102778E+42</v>
      </c>
      <c r="D1714" s="4">
        <f>SimRevY1*(1+SimGrowth)^1712</f>
        <v>3.6580277456418383E+75</v>
      </c>
      <c r="E1714" s="4">
        <f>FacDevRevY1*(1+FacDevGrowth)^1712</f>
        <v>1.8290138728209191E+75</v>
      </c>
      <c r="F1714" s="4">
        <f t="shared" si="104"/>
        <v>5.4870416184627574E+75</v>
      </c>
      <c r="G1714" s="4">
        <f t="shared" si="105"/>
        <v>5.4870416184627574E+75</v>
      </c>
      <c r="H1714" s="4">
        <f>SalaryFTECount*SalaryPerFTE*(1+SalaryGrowth)^1712</f>
        <v>3.0429595143863595E+34</v>
      </c>
      <c r="I1714" s="4">
        <f>SimOpsY1*(1+SimOpsGrowth)^1712</f>
        <v>4.9956344100735415E+61</v>
      </c>
      <c r="J1714" s="4">
        <f>TrainDevY1*(1+TrainDevGrowth)^1712</f>
        <v>2.4978172050367708E+61</v>
      </c>
      <c r="K1714" s="4">
        <f>AdminY1*(1+AdminGrowth)^1712</f>
        <v>4.213774871717871E+47</v>
      </c>
      <c r="L1714" s="4">
        <f t="shared" si="106"/>
        <v>7.493451615110354E+61</v>
      </c>
      <c r="M1714" s="4">
        <f t="shared" si="107"/>
        <v>5.4870416184626827E+75</v>
      </c>
    </row>
    <row r="1715" spans="1:13" x14ac:dyDescent="0.2">
      <c r="A1715" s="3">
        <f>StartYear+1713</f>
        <v>3738</v>
      </c>
      <c r="B1715" s="4">
        <f>FacultyFTE*HoursPerWeek*WeeksPerYear*RatePerHour*(1+PracticeGrowth)^1713</f>
        <v>5.7103377275452682E+41</v>
      </c>
      <c r="C1715" s="4">
        <f>StudentsY1*(1+StudentGrowth)^1713*CreditsPerStudent*TuitionPerCredit</f>
        <v>3.5689610797157924E+42</v>
      </c>
      <c r="D1715" s="4">
        <f>SimRevY1*(1+SimGrowth)^1713</f>
        <v>4.0238305202060227E+75</v>
      </c>
      <c r="E1715" s="4">
        <f>FacDevRevY1*(1+FacDevGrowth)^1713</f>
        <v>2.0119152601030114E+75</v>
      </c>
      <c r="F1715" s="4">
        <f t="shared" si="104"/>
        <v>6.0357457803090345E+75</v>
      </c>
      <c r="G1715" s="4">
        <f t="shared" si="105"/>
        <v>6.0357457803090345E+75</v>
      </c>
      <c r="H1715" s="4">
        <f>SalaryFTECount*SalaryPerFTE*(1+SalaryGrowth)^1713</f>
        <v>3.1646778949618142E+34</v>
      </c>
      <c r="I1715" s="4">
        <f>SimOpsY1*(1+SimOpsGrowth)^1713</f>
        <v>5.3952851628794244E+61</v>
      </c>
      <c r="J1715" s="4">
        <f>TrainDevY1*(1+TrainDevGrowth)^1713</f>
        <v>2.6976425814397122E+61</v>
      </c>
      <c r="K1715" s="4">
        <f>AdminY1*(1+AdminGrowth)^1713</f>
        <v>4.4666013640209437E+47</v>
      </c>
      <c r="L1715" s="4">
        <f t="shared" si="106"/>
        <v>8.0929277443191812E+61</v>
      </c>
      <c r="M1715" s="4">
        <f t="shared" si="107"/>
        <v>6.0357457803089534E+75</v>
      </c>
    </row>
    <row r="1716" spans="1:13" x14ac:dyDescent="0.2">
      <c r="A1716" s="3">
        <f>StartYear+1714</f>
        <v>3739</v>
      </c>
      <c r="B1716" s="4">
        <f>FacultyFTE*HoursPerWeek*WeeksPerYear*RatePerHour*(1+PracticeGrowth)^1714</f>
        <v>5.9958546139225324E+41</v>
      </c>
      <c r="C1716" s="4">
        <f>StudentsY1*(1+StudentGrowth)^1714*CreditsPerStudent*TuitionPerCredit</f>
        <v>3.7474091337015829E+42</v>
      </c>
      <c r="D1716" s="4">
        <f>SimRevY1*(1+SimGrowth)^1714</f>
        <v>4.4262135722266254E+75</v>
      </c>
      <c r="E1716" s="4">
        <f>FacDevRevY1*(1+FacDevGrowth)^1714</f>
        <v>2.2131067861133127E+75</v>
      </c>
      <c r="F1716" s="4">
        <f t="shared" si="104"/>
        <v>6.6393203583399381E+75</v>
      </c>
      <c r="G1716" s="4">
        <f t="shared" si="105"/>
        <v>6.6393203583399381E+75</v>
      </c>
      <c r="H1716" s="4">
        <f>SalaryFTECount*SalaryPerFTE*(1+SalaryGrowth)^1714</f>
        <v>3.2912650107602867E+34</v>
      </c>
      <c r="I1716" s="4">
        <f>SimOpsY1*(1+SimOpsGrowth)^1714</f>
        <v>5.8269079759097791E+61</v>
      </c>
      <c r="J1716" s="4">
        <f>TrainDevY1*(1+TrainDevGrowth)^1714</f>
        <v>2.9134539879548895E+61</v>
      </c>
      <c r="K1716" s="4">
        <f>AdminY1*(1+AdminGrowth)^1714</f>
        <v>4.7345974458622001E+47</v>
      </c>
      <c r="L1716" s="4">
        <f t="shared" si="106"/>
        <v>8.7403619638647149E+61</v>
      </c>
      <c r="M1716" s="4">
        <f t="shared" si="107"/>
        <v>6.6393203583398506E+75</v>
      </c>
    </row>
    <row r="1717" spans="1:13" x14ac:dyDescent="0.2">
      <c r="A1717" s="3">
        <f>StartYear+1715</f>
        <v>3740</v>
      </c>
      <c r="B1717" s="4">
        <f>FacultyFTE*HoursPerWeek*WeeksPerYear*RatePerHour*(1+PracticeGrowth)^1715</f>
        <v>6.2956473446186584E+41</v>
      </c>
      <c r="C1717" s="4">
        <f>StudentsY1*(1+StudentGrowth)^1715*CreditsPerStudent*TuitionPerCredit</f>
        <v>3.9347795903866617E+42</v>
      </c>
      <c r="D1717" s="4">
        <f>SimRevY1*(1+SimGrowth)^1715</f>
        <v>4.8688349294492883E+75</v>
      </c>
      <c r="E1717" s="4">
        <f>FacDevRevY1*(1+FacDevGrowth)^1715</f>
        <v>2.4344174647246441E+75</v>
      </c>
      <c r="F1717" s="4">
        <f t="shared" si="104"/>
        <v>7.303252394173932E+75</v>
      </c>
      <c r="G1717" s="4">
        <f t="shared" si="105"/>
        <v>7.303252394173932E+75</v>
      </c>
      <c r="H1717" s="4">
        <f>SalaryFTECount*SalaryPerFTE*(1+SalaryGrowth)^1715</f>
        <v>3.4229156111906994E+34</v>
      </c>
      <c r="I1717" s="4">
        <f>SimOpsY1*(1+SimOpsGrowth)^1715</f>
        <v>6.2930606139825625E+61</v>
      </c>
      <c r="J1717" s="4">
        <f>TrainDevY1*(1+TrainDevGrowth)^1715</f>
        <v>3.1465303069912812E+61</v>
      </c>
      <c r="K1717" s="4">
        <f>AdminY1*(1+AdminGrowth)^1715</f>
        <v>5.018673292613933E+47</v>
      </c>
      <c r="L1717" s="4">
        <f t="shared" si="106"/>
        <v>9.4395909209738939E+61</v>
      </c>
      <c r="M1717" s="4">
        <f t="shared" si="107"/>
        <v>7.3032523941738372E+75</v>
      </c>
    </row>
    <row r="1718" spans="1:13" x14ac:dyDescent="0.2">
      <c r="A1718" s="3">
        <f>StartYear+1716</f>
        <v>3741</v>
      </c>
      <c r="B1718" s="4">
        <f>FacultyFTE*HoursPerWeek*WeeksPerYear*RatePerHour*(1+PracticeGrowth)^1716</f>
        <v>6.6104297118495908E+41</v>
      </c>
      <c r="C1718" s="4">
        <f>StudentsY1*(1+StudentGrowth)^1716*CreditsPerStudent*TuitionPerCredit</f>
        <v>4.1315185699059944E+42</v>
      </c>
      <c r="D1718" s="4">
        <f>SimRevY1*(1+SimGrowth)^1716</f>
        <v>5.3557184223942172E+75</v>
      </c>
      <c r="E1718" s="4">
        <f>FacDevRevY1*(1+FacDevGrowth)^1716</f>
        <v>2.6778592111971086E+75</v>
      </c>
      <c r="F1718" s="4">
        <f t="shared" si="104"/>
        <v>8.0335776335913262E+75</v>
      </c>
      <c r="G1718" s="4">
        <f t="shared" si="105"/>
        <v>8.0335776335913262E+75</v>
      </c>
      <c r="H1718" s="4">
        <f>SalaryFTECount*SalaryPerFTE*(1+SalaryGrowth)^1716</f>
        <v>3.5598322356383267E+34</v>
      </c>
      <c r="I1718" s="4">
        <f>SimOpsY1*(1+SimOpsGrowth)^1716</f>
        <v>6.7965054631011666E+61</v>
      </c>
      <c r="J1718" s="4">
        <f>TrainDevY1*(1+TrainDevGrowth)^1716</f>
        <v>3.3982527315505833E+61</v>
      </c>
      <c r="K1718" s="4">
        <f>AdminY1*(1+AdminGrowth)^1716</f>
        <v>5.3197936901707684E+47</v>
      </c>
      <c r="L1718" s="4">
        <f t="shared" si="106"/>
        <v>1.0194758194651804E+62</v>
      </c>
      <c r="M1718" s="4">
        <f t="shared" si="107"/>
        <v>8.033577633591225E+75</v>
      </c>
    </row>
    <row r="1719" spans="1:13" x14ac:dyDescent="0.2">
      <c r="A1719" s="3">
        <f>StartYear+1717</f>
        <v>3742</v>
      </c>
      <c r="B1719" s="4">
        <f>FacultyFTE*HoursPerWeek*WeeksPerYear*RatePerHour*(1+PracticeGrowth)^1717</f>
        <v>6.940951197442071E+41</v>
      </c>
      <c r="C1719" s="4">
        <f>StudentsY1*(1+StudentGrowth)^1717*CreditsPerStudent*TuitionPerCredit</f>
        <v>4.3380944984012938E+42</v>
      </c>
      <c r="D1719" s="4">
        <f>SimRevY1*(1+SimGrowth)^1717</f>
        <v>5.8912902646336392E+75</v>
      </c>
      <c r="E1719" s="4">
        <f>FacDevRevY1*(1+FacDevGrowth)^1717</f>
        <v>2.9456451323168196E+75</v>
      </c>
      <c r="F1719" s="4">
        <f t="shared" si="104"/>
        <v>8.8369353969504591E+75</v>
      </c>
      <c r="G1719" s="4">
        <f t="shared" si="105"/>
        <v>8.8369353969504591E+75</v>
      </c>
      <c r="H1719" s="4">
        <f>SalaryFTECount*SalaryPerFTE*(1+SalaryGrowth)^1717</f>
        <v>3.7022255250638601E+34</v>
      </c>
      <c r="I1719" s="4">
        <f>SimOpsY1*(1+SimOpsGrowth)^1717</f>
        <v>7.3402259001492602E+61</v>
      </c>
      <c r="J1719" s="4">
        <f>TrainDevY1*(1+TrainDevGrowth)^1717</f>
        <v>3.6701129500746301E+61</v>
      </c>
      <c r="K1719" s="4">
        <f>AdminY1*(1+AdminGrowth)^1717</f>
        <v>5.6389813115810171E+47</v>
      </c>
      <c r="L1719" s="4">
        <f t="shared" si="106"/>
        <v>1.1010338850223949E+62</v>
      </c>
      <c r="M1719" s="4">
        <f t="shared" si="107"/>
        <v>8.8369353969503482E+75</v>
      </c>
    </row>
    <row r="1720" spans="1:13" x14ac:dyDescent="0.2">
      <c r="A1720" s="3">
        <f>StartYear+1718</f>
        <v>3743</v>
      </c>
      <c r="B1720" s="4">
        <f>FacultyFTE*HoursPerWeek*WeeksPerYear*RatePerHour*(1+PracticeGrowth)^1718</f>
        <v>7.2879987573141732E+41</v>
      </c>
      <c r="C1720" s="4">
        <f>StudentsY1*(1+StudentGrowth)^1718*CreditsPerStudent*TuitionPerCredit</f>
        <v>4.554999223321359E+42</v>
      </c>
      <c r="D1720" s="4">
        <f>SimRevY1*(1+SimGrowth)^1718</f>
        <v>6.4804192910970031E+75</v>
      </c>
      <c r="E1720" s="4">
        <f>FacDevRevY1*(1+FacDevGrowth)^1718</f>
        <v>3.2402096455485016E+75</v>
      </c>
      <c r="F1720" s="4">
        <f t="shared" si="104"/>
        <v>9.7206289366455047E+75</v>
      </c>
      <c r="G1720" s="4">
        <f t="shared" si="105"/>
        <v>9.7206289366455047E+75</v>
      </c>
      <c r="H1720" s="4">
        <f>SalaryFTECount*SalaryPerFTE*(1+SalaryGrowth)^1718</f>
        <v>3.850314546066415E+34</v>
      </c>
      <c r="I1720" s="4">
        <f>SimOpsY1*(1+SimOpsGrowth)^1718</f>
        <v>7.927443972161203E+61</v>
      </c>
      <c r="J1720" s="4">
        <f>TrainDevY1*(1+TrainDevGrowth)^1718</f>
        <v>3.9637219860806015E+61</v>
      </c>
      <c r="K1720" s="4">
        <f>AdminY1*(1+AdminGrowth)^1718</f>
        <v>5.9773201902758778E+47</v>
      </c>
      <c r="L1720" s="4">
        <f t="shared" si="106"/>
        <v>1.1891165958241864E+62</v>
      </c>
      <c r="M1720" s="4">
        <f t="shared" si="107"/>
        <v>9.7206289366453858E+75</v>
      </c>
    </row>
    <row r="1721" spans="1:13" x14ac:dyDescent="0.2">
      <c r="A1721" s="3">
        <f>StartYear+1719</f>
        <v>3744</v>
      </c>
      <c r="B1721" s="4">
        <f>FacultyFTE*HoursPerWeek*WeeksPerYear*RatePerHour*(1+PracticeGrowth)^1719</f>
        <v>7.6523986951798843E+41</v>
      </c>
      <c r="C1721" s="4">
        <f>StudentsY1*(1+StudentGrowth)^1719*CreditsPerStudent*TuitionPerCredit</f>
        <v>4.782749184487427E+42</v>
      </c>
      <c r="D1721" s="4">
        <f>SimRevY1*(1+SimGrowth)^1719</f>
        <v>7.1284612202067047E+75</v>
      </c>
      <c r="E1721" s="4">
        <f>FacDevRevY1*(1+FacDevGrowth)^1719</f>
        <v>3.5642306101033524E+75</v>
      </c>
      <c r="F1721" s="4">
        <f t="shared" si="104"/>
        <v>1.0692691830310057E+76</v>
      </c>
      <c r="G1721" s="4">
        <f t="shared" si="105"/>
        <v>1.0692691830310057E+76</v>
      </c>
      <c r="H1721" s="4">
        <f>SalaryFTECount*SalaryPerFTE*(1+SalaryGrowth)^1719</f>
        <v>4.0043271279090708E+34</v>
      </c>
      <c r="I1721" s="4">
        <f>SimOpsY1*(1+SimOpsGrowth)^1719</f>
        <v>8.5616394899340991E+61</v>
      </c>
      <c r="J1721" s="4">
        <f>TrainDevY1*(1+TrainDevGrowth)^1719</f>
        <v>4.2808197449670496E+61</v>
      </c>
      <c r="K1721" s="4">
        <f>AdminY1*(1+AdminGrowth)^1719</f>
        <v>6.3359594016924309E+47</v>
      </c>
      <c r="L1721" s="4">
        <f t="shared" si="106"/>
        <v>1.2842459234901211E+62</v>
      </c>
      <c r="M1721" s="4">
        <f t="shared" si="107"/>
        <v>1.0692691830309929E+76</v>
      </c>
    </row>
    <row r="1722" spans="1:13" x14ac:dyDescent="0.2">
      <c r="A1722" s="3">
        <f>StartYear+1720</f>
        <v>3745</v>
      </c>
      <c r="B1722" s="4">
        <f>FacultyFTE*HoursPerWeek*WeeksPerYear*RatePerHour*(1+PracticeGrowth)^1720</f>
        <v>8.0350186299388774E+41</v>
      </c>
      <c r="C1722" s="4">
        <f>StudentsY1*(1+StudentGrowth)^1720*CreditsPerStudent*TuitionPerCredit</f>
        <v>5.0218866437117981E+42</v>
      </c>
      <c r="D1722" s="4">
        <f>SimRevY1*(1+SimGrowth)^1720</f>
        <v>7.8413073422273736E+75</v>
      </c>
      <c r="E1722" s="4">
        <f>FacDevRevY1*(1+FacDevGrowth)^1720</f>
        <v>3.9206536711136868E+75</v>
      </c>
      <c r="F1722" s="4">
        <f t="shared" si="104"/>
        <v>1.1761961013341061E+76</v>
      </c>
      <c r="G1722" s="4">
        <f t="shared" si="105"/>
        <v>1.1761961013341061E+76</v>
      </c>
      <c r="H1722" s="4">
        <f>SalaryFTECount*SalaryPerFTE*(1+SalaryGrowth)^1720</f>
        <v>4.1645002130254344E+34</v>
      </c>
      <c r="I1722" s="4">
        <f>SimOpsY1*(1+SimOpsGrowth)^1720</f>
        <v>9.2465706491288257E+61</v>
      </c>
      <c r="J1722" s="4">
        <f>TrainDevY1*(1+TrainDevGrowth)^1720</f>
        <v>4.6232853245644129E+61</v>
      </c>
      <c r="K1722" s="4">
        <f>AdminY1*(1+AdminGrowth)^1720</f>
        <v>6.7161169657939755E+47</v>
      </c>
      <c r="L1722" s="4">
        <f t="shared" si="106"/>
        <v>1.3869855973693305E+62</v>
      </c>
      <c r="M1722" s="4">
        <f t="shared" si="107"/>
        <v>1.1761961013340923E+76</v>
      </c>
    </row>
    <row r="1723" spans="1:13" x14ac:dyDescent="0.2">
      <c r="A1723" s="3">
        <f>StartYear+1721</f>
        <v>3746</v>
      </c>
      <c r="B1723" s="4">
        <f>FacultyFTE*HoursPerWeek*WeeksPerYear*RatePerHour*(1+PracticeGrowth)^1721</f>
        <v>8.4367695614358226E+41</v>
      </c>
      <c r="C1723" s="4">
        <f>StudentsY1*(1+StudentGrowth)^1721*CreditsPerStudent*TuitionPerCredit</f>
        <v>5.2729809758973894E+42</v>
      </c>
      <c r="D1723" s="4">
        <f>SimRevY1*(1+SimGrowth)^1721</f>
        <v>8.6254380764501127E+75</v>
      </c>
      <c r="E1723" s="4">
        <f>FacDevRevY1*(1+FacDevGrowth)^1721</f>
        <v>4.3127190382250564E+75</v>
      </c>
      <c r="F1723" s="4">
        <f t="shared" si="104"/>
        <v>1.2938157114675168E+76</v>
      </c>
      <c r="G1723" s="4">
        <f t="shared" si="105"/>
        <v>1.2938157114675168E+76</v>
      </c>
      <c r="H1723" s="4">
        <f>SalaryFTECount*SalaryPerFTE*(1+SalaryGrowth)^1721</f>
        <v>4.3310802215464528E+34</v>
      </c>
      <c r="I1723" s="4">
        <f>SimOpsY1*(1+SimOpsGrowth)^1721</f>
        <v>9.9862963010591357E+61</v>
      </c>
      <c r="J1723" s="4">
        <f>TrainDevY1*(1+TrainDevGrowth)^1721</f>
        <v>4.9931481505295679E+61</v>
      </c>
      <c r="K1723" s="4">
        <f>AdminY1*(1+AdminGrowth)^1721</f>
        <v>7.1190839837416142E+47</v>
      </c>
      <c r="L1723" s="4">
        <f t="shared" si="106"/>
        <v>1.4979444451588773E+62</v>
      </c>
      <c r="M1723" s="4">
        <f t="shared" si="107"/>
        <v>1.2938157114675019E+76</v>
      </c>
    </row>
    <row r="1724" spans="1:13" x14ac:dyDescent="0.2">
      <c r="A1724" s="3">
        <f>StartYear+1722</f>
        <v>3747</v>
      </c>
      <c r="B1724" s="4">
        <f>FacultyFTE*HoursPerWeek*WeeksPerYear*RatePerHour*(1+PracticeGrowth)^1722</f>
        <v>8.8586080395076137E+41</v>
      </c>
      <c r="C1724" s="4">
        <f>StudentsY1*(1+StudentGrowth)^1722*CreditsPerStudent*TuitionPerCredit</f>
        <v>5.5366300246922577E+42</v>
      </c>
      <c r="D1724" s="4">
        <f>SimRevY1*(1+SimGrowth)^1722</f>
        <v>9.4879818840951245E+75</v>
      </c>
      <c r="E1724" s="4">
        <f>FacDevRevY1*(1+FacDevGrowth)^1722</f>
        <v>4.7439909420475622E+75</v>
      </c>
      <c r="F1724" s="4">
        <f t="shared" si="104"/>
        <v>1.4231972826142687E+76</v>
      </c>
      <c r="G1724" s="4">
        <f t="shared" si="105"/>
        <v>1.4231972826142687E+76</v>
      </c>
      <c r="H1724" s="4">
        <f>SalaryFTECount*SalaryPerFTE*(1+SalaryGrowth)^1722</f>
        <v>4.5043234304083095E+34</v>
      </c>
      <c r="I1724" s="4">
        <f>SimOpsY1*(1+SimOpsGrowth)^1722</f>
        <v>1.0785200005143866E+62</v>
      </c>
      <c r="J1724" s="4">
        <f>TrainDevY1*(1+TrainDevGrowth)^1722</f>
        <v>5.3926000025719331E+61</v>
      </c>
      <c r="K1724" s="4">
        <f>AdminY1*(1+AdminGrowth)^1722</f>
        <v>7.546229022766111E+47</v>
      </c>
      <c r="L1724" s="4">
        <f t="shared" si="106"/>
        <v>1.6177800007715875E+62</v>
      </c>
      <c r="M1724" s="4">
        <f t="shared" si="107"/>
        <v>1.4231972826142524E+76</v>
      </c>
    </row>
    <row r="1725" spans="1:13" x14ac:dyDescent="0.2">
      <c r="A1725" s="3">
        <f>StartYear+1723</f>
        <v>3748</v>
      </c>
      <c r="B1725" s="4">
        <f>FacultyFTE*HoursPerWeek*WeeksPerYear*RatePerHour*(1+PracticeGrowth)^1723</f>
        <v>9.3015384414829933E+41</v>
      </c>
      <c r="C1725" s="4">
        <f>StudentsY1*(1+StudentGrowth)^1723*CreditsPerStudent*TuitionPerCredit</f>
        <v>5.8134615259268713E+42</v>
      </c>
      <c r="D1725" s="4">
        <f>SimRevY1*(1+SimGrowth)^1723</f>
        <v>1.043678007250464E+76</v>
      </c>
      <c r="E1725" s="4">
        <f>FacDevRevY1*(1+FacDevGrowth)^1723</f>
        <v>5.2183900362523201E+75</v>
      </c>
      <c r="F1725" s="4">
        <f t="shared" si="104"/>
        <v>1.5655170108756961E+76</v>
      </c>
      <c r="G1725" s="4">
        <f t="shared" si="105"/>
        <v>1.5655170108756961E+76</v>
      </c>
      <c r="H1725" s="4">
        <f>SalaryFTECount*SalaryPerFTE*(1+SalaryGrowth)^1723</f>
        <v>4.6844963676246419E+34</v>
      </c>
      <c r="I1725" s="4">
        <f>SimOpsY1*(1+SimOpsGrowth)^1723</f>
        <v>1.1648016005555374E+62</v>
      </c>
      <c r="J1725" s="4">
        <f>TrainDevY1*(1+TrainDevGrowth)^1723</f>
        <v>5.8240080027776869E+61</v>
      </c>
      <c r="K1725" s="4">
        <f>AdminY1*(1+AdminGrowth)^1723</f>
        <v>7.9990027641320789E+47</v>
      </c>
      <c r="L1725" s="4">
        <f t="shared" si="106"/>
        <v>1.7472024008333141E+62</v>
      </c>
      <c r="M1725" s="4">
        <f t="shared" si="107"/>
        <v>1.5655170108756787E+76</v>
      </c>
    </row>
    <row r="1726" spans="1:13" x14ac:dyDescent="0.2">
      <c r="A1726" s="3">
        <f>StartYear+1724</f>
        <v>3749</v>
      </c>
      <c r="B1726" s="4">
        <f>FacultyFTE*HoursPerWeek*WeeksPerYear*RatePerHour*(1+PracticeGrowth)^1724</f>
        <v>9.7666153635571415E+41</v>
      </c>
      <c r="C1726" s="4">
        <f>StudentsY1*(1+StudentGrowth)^1724*CreditsPerStudent*TuitionPerCredit</f>
        <v>6.1041346022232136E+42</v>
      </c>
      <c r="D1726" s="4">
        <f>SimRevY1*(1+SimGrowth)^1724</f>
        <v>1.1480458079755103E+76</v>
      </c>
      <c r="E1726" s="4">
        <f>FacDevRevY1*(1+FacDevGrowth)^1724</f>
        <v>5.7402290398775514E+75</v>
      </c>
      <c r="F1726" s="4">
        <f t="shared" si="104"/>
        <v>1.7220687119632653E+76</v>
      </c>
      <c r="G1726" s="4">
        <f t="shared" si="105"/>
        <v>1.7220687119632653E+76</v>
      </c>
      <c r="H1726" s="4">
        <f>SalaryFTECount*SalaryPerFTE*(1+SalaryGrowth)^1724</f>
        <v>4.8718762223296288E+34</v>
      </c>
      <c r="I1726" s="4">
        <f>SimOpsY1*(1+SimOpsGrowth)^1724</f>
        <v>1.2579857285999804E+62</v>
      </c>
      <c r="J1726" s="4">
        <f>TrainDevY1*(1+TrainDevGrowth)^1724</f>
        <v>6.289928642999902E+61</v>
      </c>
      <c r="K1726" s="4">
        <f>AdminY1*(1+AdminGrowth)^1724</f>
        <v>8.4789429299800049E+47</v>
      </c>
      <c r="L1726" s="4">
        <f t="shared" si="106"/>
        <v>1.8869785928999792E+62</v>
      </c>
      <c r="M1726" s="4">
        <f t="shared" si="107"/>
        <v>1.7220687119632464E+76</v>
      </c>
    </row>
    <row r="1727" spans="1:13" x14ac:dyDescent="0.2">
      <c r="A1727" s="3">
        <f>StartYear+1725</f>
        <v>3750</v>
      </c>
      <c r="B1727" s="4">
        <f>FacultyFTE*HoursPerWeek*WeeksPerYear*RatePerHour*(1+PracticeGrowth)^1725</f>
        <v>1.0254946131734999E+42</v>
      </c>
      <c r="C1727" s="4">
        <f>StudentsY1*(1+StudentGrowth)^1725*CreditsPerStudent*TuitionPerCredit</f>
        <v>6.4093413323343754E+42</v>
      </c>
      <c r="D1727" s="4">
        <f>SimRevY1*(1+SimGrowth)^1725</f>
        <v>1.2628503887730613E+76</v>
      </c>
      <c r="E1727" s="4">
        <f>FacDevRevY1*(1+FacDevGrowth)^1725</f>
        <v>6.3142519438653066E+75</v>
      </c>
      <c r="F1727" s="4">
        <f t="shared" si="104"/>
        <v>1.8942755831595919E+76</v>
      </c>
      <c r="G1727" s="4">
        <f t="shared" si="105"/>
        <v>1.8942755831595919E+76</v>
      </c>
      <c r="H1727" s="4">
        <f>SalaryFTECount*SalaryPerFTE*(1+SalaryGrowth)^1725</f>
        <v>5.0667512712228156E+34</v>
      </c>
      <c r="I1727" s="4">
        <f>SimOpsY1*(1+SimOpsGrowth)^1725</f>
        <v>1.3586245868879788E+62</v>
      </c>
      <c r="J1727" s="4">
        <f>TrainDevY1*(1+TrainDevGrowth)^1725</f>
        <v>6.793122934439894E+61</v>
      </c>
      <c r="K1727" s="4">
        <f>AdminY1*(1+AdminGrowth)^1725</f>
        <v>8.9876795057788059E+47</v>
      </c>
      <c r="L1727" s="4">
        <f t="shared" si="106"/>
        <v>2.037936880331977E+62</v>
      </c>
      <c r="M1727" s="4">
        <f t="shared" si="107"/>
        <v>1.8942755831595716E+76</v>
      </c>
    </row>
    <row r="1728" spans="1:13" x14ac:dyDescent="0.2">
      <c r="A1728" s="3">
        <f>StartYear+1726</f>
        <v>3751</v>
      </c>
      <c r="B1728" s="4">
        <f>FacultyFTE*HoursPerWeek*WeeksPerYear*RatePerHour*(1+PracticeGrowth)^1726</f>
        <v>1.0767693438321748E+42</v>
      </c>
      <c r="C1728" s="4">
        <f>StudentsY1*(1+StudentGrowth)^1726*CreditsPerStudent*TuitionPerCredit</f>
        <v>6.729808398951093E+42</v>
      </c>
      <c r="D1728" s="4">
        <f>SimRevY1*(1+SimGrowth)^1726</f>
        <v>1.389135427650368E+76</v>
      </c>
      <c r="E1728" s="4">
        <f>FacDevRevY1*(1+FacDevGrowth)^1726</f>
        <v>6.9456771382518402E+75</v>
      </c>
      <c r="F1728" s="4">
        <f t="shared" si="104"/>
        <v>2.083703141475552E+76</v>
      </c>
      <c r="G1728" s="4">
        <f t="shared" si="105"/>
        <v>2.083703141475552E+76</v>
      </c>
      <c r="H1728" s="4">
        <f>SalaryFTECount*SalaryPerFTE*(1+SalaryGrowth)^1726</f>
        <v>5.2694213220717267E+34</v>
      </c>
      <c r="I1728" s="4">
        <f>SimOpsY1*(1+SimOpsGrowth)^1726</f>
        <v>1.4673145538390176E+62</v>
      </c>
      <c r="J1728" s="4">
        <f>TrainDevY1*(1+TrainDevGrowth)^1726</f>
        <v>7.3365727691950879E+61</v>
      </c>
      <c r="K1728" s="4">
        <f>AdminY1*(1+AdminGrowth)^1726</f>
        <v>9.5269402761255332E+47</v>
      </c>
      <c r="L1728" s="4">
        <f t="shared" si="106"/>
        <v>2.2009718307585361E+62</v>
      </c>
      <c r="M1728" s="4">
        <f t="shared" si="107"/>
        <v>2.0837031414755301E+76</v>
      </c>
    </row>
    <row r="1729" spans="1:13" x14ac:dyDescent="0.2">
      <c r="A1729" s="3">
        <f>StartYear+1727</f>
        <v>3752</v>
      </c>
      <c r="B1729" s="4">
        <f>FacultyFTE*HoursPerWeek*WeeksPerYear*RatePerHour*(1+PracticeGrowth)^1727</f>
        <v>1.1306078110237839E+42</v>
      </c>
      <c r="C1729" s="4">
        <f>StudentsY1*(1+StudentGrowth)^1727*CreditsPerStudent*TuitionPerCredit</f>
        <v>7.0662988188986501E+42</v>
      </c>
      <c r="D1729" s="4">
        <f>SimRevY1*(1+SimGrowth)^1727</f>
        <v>1.5280489704154042E+76</v>
      </c>
      <c r="E1729" s="4">
        <f>FacDevRevY1*(1+FacDevGrowth)^1727</f>
        <v>7.6402448520770209E+75</v>
      </c>
      <c r="F1729" s="4">
        <f t="shared" si="104"/>
        <v>2.2920734556231063E+76</v>
      </c>
      <c r="G1729" s="4">
        <f t="shared" si="105"/>
        <v>2.2920734556231063E+76</v>
      </c>
      <c r="H1729" s="4">
        <f>SalaryFTECount*SalaryPerFTE*(1+SalaryGrowth)^1727</f>
        <v>5.4801981749545955E+34</v>
      </c>
      <c r="I1729" s="4">
        <f>SimOpsY1*(1+SimOpsGrowth)^1727</f>
        <v>1.5846997181461391E+62</v>
      </c>
      <c r="J1729" s="4">
        <f>TrainDevY1*(1+TrainDevGrowth)^1727</f>
        <v>7.9234985907306956E+61</v>
      </c>
      <c r="K1729" s="4">
        <f>AdminY1*(1+AdminGrowth)^1727</f>
        <v>1.0098556692693068E+48</v>
      </c>
      <c r="L1729" s="4">
        <f t="shared" si="106"/>
        <v>2.3770495772192186E+62</v>
      </c>
      <c r="M1729" s="4">
        <f t="shared" si="107"/>
        <v>2.2920734556230825E+76</v>
      </c>
    </row>
    <row r="1730" spans="1:13" x14ac:dyDescent="0.2">
      <c r="A1730" s="3">
        <f>StartYear+1728</f>
        <v>3753</v>
      </c>
      <c r="B1730" s="4">
        <f>FacultyFTE*HoursPerWeek*WeeksPerYear*RatePerHour*(1+PracticeGrowth)^1728</f>
        <v>1.187138201574973E+42</v>
      </c>
      <c r="C1730" s="4">
        <f>StudentsY1*(1+StudentGrowth)^1728*CreditsPerStudent*TuitionPerCredit</f>
        <v>7.4196137598435813E+42</v>
      </c>
      <c r="D1730" s="4">
        <f>SimRevY1*(1+SimGrowth)^1728</f>
        <v>1.6808538674569451E+76</v>
      </c>
      <c r="E1730" s="4">
        <f>FacDevRevY1*(1+FacDevGrowth)^1728</f>
        <v>8.4042693372847256E+75</v>
      </c>
      <c r="F1730" s="4">
        <f t="shared" ref="F1730:F1793" si="108">C1730+D1730+E1730</f>
        <v>2.5212808011854177E+76</v>
      </c>
      <c r="G1730" s="4">
        <f t="shared" ref="G1730:G1793" si="109">B1730+F1730</f>
        <v>2.5212808011854177E+76</v>
      </c>
      <c r="H1730" s="4">
        <f>SalaryFTECount*SalaryPerFTE*(1+SalaryGrowth)^1728</f>
        <v>5.6994061019527796E+34</v>
      </c>
      <c r="I1730" s="4">
        <f>SimOpsY1*(1+SimOpsGrowth)^1728</f>
        <v>1.7114756955978301E+62</v>
      </c>
      <c r="J1730" s="4">
        <f>TrainDevY1*(1+TrainDevGrowth)^1728</f>
        <v>8.5573784779891503E+61</v>
      </c>
      <c r="K1730" s="4">
        <f>AdminY1*(1+AdminGrowth)^1728</f>
        <v>1.0704470094254648E+48</v>
      </c>
      <c r="L1730" s="4">
        <f t="shared" ref="L1730:L1793" si="110">SUM(H1730:K1730)</f>
        <v>2.5672135433967557E+62</v>
      </c>
      <c r="M1730" s="4">
        <f t="shared" ref="M1730:M1793" si="111">G1730-L1730</f>
        <v>2.521280801185392E+76</v>
      </c>
    </row>
    <row r="1731" spans="1:13" x14ac:dyDescent="0.2">
      <c r="A1731" s="3">
        <f>StartYear+1729</f>
        <v>3754</v>
      </c>
      <c r="B1731" s="4">
        <f>FacultyFTE*HoursPerWeek*WeeksPerYear*RatePerHour*(1+PracticeGrowth)^1729</f>
        <v>1.246495111653722E+42</v>
      </c>
      <c r="C1731" s="4">
        <f>StudentsY1*(1+StudentGrowth)^1729*CreditsPerStudent*TuitionPerCredit</f>
        <v>7.790594447835762E+42</v>
      </c>
      <c r="D1731" s="4">
        <f>SimRevY1*(1+SimGrowth)^1729</f>
        <v>1.8489392542026397E+76</v>
      </c>
      <c r="E1731" s="4">
        <f>FacDevRevY1*(1+FacDevGrowth)^1729</f>
        <v>9.2446962710131985E+75</v>
      </c>
      <c r="F1731" s="4">
        <f t="shared" si="108"/>
        <v>2.7734088813039595E+76</v>
      </c>
      <c r="G1731" s="4">
        <f t="shared" si="109"/>
        <v>2.7734088813039595E+76</v>
      </c>
      <c r="H1731" s="4">
        <f>SalaryFTECount*SalaryPerFTE*(1+SalaryGrowth)^1729</f>
        <v>5.9273823460308919E+34</v>
      </c>
      <c r="I1731" s="4">
        <f>SimOpsY1*(1+SimOpsGrowth)^1729</f>
        <v>1.8483937512456572E+62</v>
      </c>
      <c r="J1731" s="4">
        <f>TrainDevY1*(1+TrainDevGrowth)^1729</f>
        <v>9.241968756228286E+61</v>
      </c>
      <c r="K1731" s="4">
        <f>AdminY1*(1+AdminGrowth)^1729</f>
        <v>1.1346738299909928E+48</v>
      </c>
      <c r="L1731" s="4">
        <f t="shared" si="110"/>
        <v>2.772590626868497E+62</v>
      </c>
      <c r="M1731" s="4">
        <f t="shared" si="111"/>
        <v>2.7734088813039319E+76</v>
      </c>
    </row>
    <row r="1732" spans="1:13" x14ac:dyDescent="0.2">
      <c r="A1732" s="3">
        <f>StartYear+1730</f>
        <v>3755</v>
      </c>
      <c r="B1732" s="4">
        <f>FacultyFTE*HoursPerWeek*WeeksPerYear*RatePerHour*(1+PracticeGrowth)^1730</f>
        <v>1.3088198672364078E+42</v>
      </c>
      <c r="C1732" s="4">
        <f>StudentsY1*(1+StudentGrowth)^1730*CreditsPerStudent*TuitionPerCredit</f>
        <v>8.1801241702275491E+42</v>
      </c>
      <c r="D1732" s="4">
        <f>SimRevY1*(1+SimGrowth)^1730</f>
        <v>2.0338331796229038E+76</v>
      </c>
      <c r="E1732" s="4">
        <f>FacDevRevY1*(1+FacDevGrowth)^1730</f>
        <v>1.0169165898114519E+76</v>
      </c>
      <c r="F1732" s="4">
        <f t="shared" si="108"/>
        <v>3.0507497694343559E+76</v>
      </c>
      <c r="G1732" s="4">
        <f t="shared" si="109"/>
        <v>3.0507497694343559E+76</v>
      </c>
      <c r="H1732" s="4">
        <f>SalaryFTECount*SalaryPerFTE*(1+SalaryGrowth)^1730</f>
        <v>6.1644776398721278E+34</v>
      </c>
      <c r="I1732" s="4">
        <f>SimOpsY1*(1+SimOpsGrowth)^1730</f>
        <v>1.9962652513453091E+62</v>
      </c>
      <c r="J1732" s="4">
        <f>TrainDevY1*(1+TrainDevGrowth)^1730</f>
        <v>9.9813262567265456E+61</v>
      </c>
      <c r="K1732" s="4">
        <f>AdminY1*(1+AdminGrowth)^1730</f>
        <v>1.2027542597904527E+48</v>
      </c>
      <c r="L1732" s="4">
        <f t="shared" si="110"/>
        <v>2.9943978770179754E+62</v>
      </c>
      <c r="M1732" s="4">
        <f t="shared" si="111"/>
        <v>3.0507497694343256E+76</v>
      </c>
    </row>
    <row r="1733" spans="1:13" x14ac:dyDescent="0.2">
      <c r="A1733" s="3">
        <f>StartYear+1731</f>
        <v>3756</v>
      </c>
      <c r="B1733" s="4">
        <f>FacultyFTE*HoursPerWeek*WeeksPerYear*RatePerHour*(1+PracticeGrowth)^1731</f>
        <v>1.3742608605982283E+42</v>
      </c>
      <c r="C1733" s="4">
        <f>StudentsY1*(1+StudentGrowth)^1731*CreditsPerStudent*TuitionPerCredit</f>
        <v>8.5891303787389261E+42</v>
      </c>
      <c r="D1733" s="4">
        <f>SimRevY1*(1+SimGrowth)^1731</f>
        <v>2.2372164975851949E+76</v>
      </c>
      <c r="E1733" s="4">
        <f>FacDevRevY1*(1+FacDevGrowth)^1731</f>
        <v>1.1186082487925975E+76</v>
      </c>
      <c r="F1733" s="4">
        <f t="shared" si="108"/>
        <v>3.3558247463777922E+76</v>
      </c>
      <c r="G1733" s="4">
        <f t="shared" si="109"/>
        <v>3.3558247463777922E+76</v>
      </c>
      <c r="H1733" s="4">
        <f>SalaryFTECount*SalaryPerFTE*(1+SalaryGrowth)^1731</f>
        <v>6.4110567454670129E+34</v>
      </c>
      <c r="I1733" s="4">
        <f>SimOpsY1*(1+SimOpsGrowth)^1731</f>
        <v>2.1559664714529345E+62</v>
      </c>
      <c r="J1733" s="4">
        <f>TrainDevY1*(1+TrainDevGrowth)^1731</f>
        <v>1.0779832357264673E+62</v>
      </c>
      <c r="K1733" s="4">
        <f>AdminY1*(1+AdminGrowth)^1731</f>
        <v>1.2749195153778799E+48</v>
      </c>
      <c r="L1733" s="4">
        <f t="shared" si="110"/>
        <v>3.2339497071794145E+62</v>
      </c>
      <c r="M1733" s="4">
        <f t="shared" si="111"/>
        <v>3.3558247463777601E+76</v>
      </c>
    </row>
    <row r="1734" spans="1:13" x14ac:dyDescent="0.2">
      <c r="A1734" s="3">
        <f>StartYear+1732</f>
        <v>3757</v>
      </c>
      <c r="B1734" s="4">
        <f>FacultyFTE*HoursPerWeek*WeeksPerYear*RatePerHour*(1+PracticeGrowth)^1732</f>
        <v>1.4429739036281397E+42</v>
      </c>
      <c r="C1734" s="4">
        <f>StudentsY1*(1+StudentGrowth)^1732*CreditsPerStudent*TuitionPerCredit</f>
        <v>9.0185868976758725E+42</v>
      </c>
      <c r="D1734" s="4">
        <f>SimRevY1*(1+SimGrowth)^1732</f>
        <v>2.4609381473437141E+76</v>
      </c>
      <c r="E1734" s="4">
        <f>FacDevRevY1*(1+FacDevGrowth)^1732</f>
        <v>1.230469073671857E+76</v>
      </c>
      <c r="F1734" s="4">
        <f t="shared" si="108"/>
        <v>3.6914072210155712E+76</v>
      </c>
      <c r="G1734" s="4">
        <f t="shared" si="109"/>
        <v>3.6914072210155712E+76</v>
      </c>
      <c r="H1734" s="4">
        <f>SalaryFTECount*SalaryPerFTE*(1+SalaryGrowth)^1732</f>
        <v>6.6674990152856931E+34</v>
      </c>
      <c r="I1734" s="4">
        <f>SimOpsY1*(1+SimOpsGrowth)^1732</f>
        <v>2.3284437891691693E+62</v>
      </c>
      <c r="J1734" s="4">
        <f>TrainDevY1*(1+TrainDevGrowth)^1732</f>
        <v>1.1642218945845846E+62</v>
      </c>
      <c r="K1734" s="4">
        <f>AdminY1*(1+AdminGrowth)^1732</f>
        <v>1.3514146863005528E+48</v>
      </c>
      <c r="L1734" s="4">
        <f t="shared" si="110"/>
        <v>3.4926656837537679E+62</v>
      </c>
      <c r="M1734" s="4">
        <f t="shared" si="111"/>
        <v>3.6914072210155365E+76</v>
      </c>
    </row>
    <row r="1735" spans="1:13" x14ac:dyDescent="0.2">
      <c r="A1735" s="3">
        <f>StartYear+1733</f>
        <v>3758</v>
      </c>
      <c r="B1735" s="4">
        <f>FacultyFTE*HoursPerWeek*WeeksPerYear*RatePerHour*(1+PracticeGrowth)^1733</f>
        <v>1.5151225988095467E+42</v>
      </c>
      <c r="C1735" s="4">
        <f>StudentsY1*(1+StudentGrowth)^1733*CreditsPerStudent*TuitionPerCredit</f>
        <v>9.4695162425596671E+42</v>
      </c>
      <c r="D1735" s="4">
        <f>SimRevY1*(1+SimGrowth)^1733</f>
        <v>2.707031962078086E+76</v>
      </c>
      <c r="E1735" s="4">
        <f>FacDevRevY1*(1+FacDevGrowth)^1733</f>
        <v>1.353515981039043E+76</v>
      </c>
      <c r="F1735" s="4">
        <f t="shared" si="108"/>
        <v>4.060547943117129E+76</v>
      </c>
      <c r="G1735" s="4">
        <f t="shared" si="109"/>
        <v>4.060547943117129E+76</v>
      </c>
      <c r="H1735" s="4">
        <f>SalaryFTECount*SalaryPerFTE*(1+SalaryGrowth)^1733</f>
        <v>6.9341989758971214E+34</v>
      </c>
      <c r="I1735" s="4">
        <f>SimOpsY1*(1+SimOpsGrowth)^1733</f>
        <v>2.5147192923027024E+62</v>
      </c>
      <c r="J1735" s="4">
        <f>TrainDevY1*(1+TrainDevGrowth)^1733</f>
        <v>1.2573596461513512E+62</v>
      </c>
      <c r="K1735" s="4">
        <f>AdminY1*(1+AdminGrowth)^1733</f>
        <v>1.432499567478586E+48</v>
      </c>
      <c r="L1735" s="4">
        <f t="shared" si="110"/>
        <v>3.772078938454068E+62</v>
      </c>
      <c r="M1735" s="4">
        <f t="shared" si="111"/>
        <v>4.0605479431170911E+76</v>
      </c>
    </row>
    <row r="1736" spans="1:13" x14ac:dyDescent="0.2">
      <c r="A1736" s="3">
        <f>StartYear+1734</f>
        <v>3759</v>
      </c>
      <c r="B1736" s="4">
        <f>FacultyFTE*HoursPerWeek*WeeksPerYear*RatePerHour*(1+PracticeGrowth)^1734</f>
        <v>1.590878728750024E+42</v>
      </c>
      <c r="C1736" s="4">
        <f>StudentsY1*(1+StudentGrowth)^1734*CreditsPerStudent*TuitionPerCredit</f>
        <v>9.942992054687651E+42</v>
      </c>
      <c r="D1736" s="4">
        <f>SimRevY1*(1+SimGrowth)^1734</f>
        <v>2.9777351582858947E+76</v>
      </c>
      <c r="E1736" s="4">
        <f>FacDevRevY1*(1+FacDevGrowth)^1734</f>
        <v>1.4888675791429474E+76</v>
      </c>
      <c r="F1736" s="4">
        <f t="shared" si="108"/>
        <v>4.4666027374288418E+76</v>
      </c>
      <c r="G1736" s="4">
        <f t="shared" si="109"/>
        <v>4.4666027374288418E+76</v>
      </c>
      <c r="H1736" s="4">
        <f>SalaryFTECount*SalaryPerFTE*(1+SalaryGrowth)^1734</f>
        <v>7.2115669349330074E+34</v>
      </c>
      <c r="I1736" s="4">
        <f>SimOpsY1*(1+SimOpsGrowth)^1734</f>
        <v>2.7158968356869195E+62</v>
      </c>
      <c r="J1736" s="4">
        <f>TrainDevY1*(1+TrainDevGrowth)^1734</f>
        <v>1.3579484178434598E+62</v>
      </c>
      <c r="K1736" s="4">
        <f>AdminY1*(1+AdminGrowth)^1734</f>
        <v>1.5184495415273011E+48</v>
      </c>
      <c r="L1736" s="4">
        <f t="shared" si="110"/>
        <v>4.0738452535303944E+62</v>
      </c>
      <c r="M1736" s="4">
        <f t="shared" si="111"/>
        <v>4.4666027374288013E+76</v>
      </c>
    </row>
    <row r="1737" spans="1:13" x14ac:dyDescent="0.2">
      <c r="A1737" s="3">
        <f>StartYear+1735</f>
        <v>3760</v>
      </c>
      <c r="B1737" s="4">
        <f>FacultyFTE*HoursPerWeek*WeeksPerYear*RatePerHour*(1+PracticeGrowth)^1735</f>
        <v>1.6704226651875257E+42</v>
      </c>
      <c r="C1737" s="4">
        <f>StudentsY1*(1+StudentGrowth)^1735*CreditsPerStudent*TuitionPerCredit</f>
        <v>1.0440141657422035E+43</v>
      </c>
      <c r="D1737" s="4">
        <f>SimRevY1*(1+SimGrowth)^1735</f>
        <v>3.2755086741144844E+76</v>
      </c>
      <c r="E1737" s="4">
        <f>FacDevRevY1*(1+FacDevGrowth)^1735</f>
        <v>1.6377543370572422E+76</v>
      </c>
      <c r="F1737" s="4">
        <f t="shared" si="108"/>
        <v>4.9132630111717266E+76</v>
      </c>
      <c r="G1737" s="4">
        <f t="shared" si="109"/>
        <v>4.9132630111717266E+76</v>
      </c>
      <c r="H1737" s="4">
        <f>SalaryFTECount*SalaryPerFTE*(1+SalaryGrowth)^1735</f>
        <v>7.5000296123303259E+34</v>
      </c>
      <c r="I1737" s="4">
        <f>SimOpsY1*(1+SimOpsGrowth)^1735</f>
        <v>2.9331685825418727E+62</v>
      </c>
      <c r="J1737" s="4">
        <f>TrainDevY1*(1+TrainDevGrowth)^1735</f>
        <v>1.4665842912709364E+62</v>
      </c>
      <c r="K1737" s="4">
        <f>AdminY1*(1+AdminGrowth)^1735</f>
        <v>1.6095565140189398E+48</v>
      </c>
      <c r="L1737" s="4">
        <f t="shared" si="110"/>
        <v>4.399752873812826E+62</v>
      </c>
      <c r="M1737" s="4">
        <f t="shared" si="111"/>
        <v>4.9132630111716829E+76</v>
      </c>
    </row>
    <row r="1738" spans="1:13" x14ac:dyDescent="0.2">
      <c r="A1738" s="3">
        <f>StartYear+1736</f>
        <v>3761</v>
      </c>
      <c r="B1738" s="4">
        <f>FacultyFTE*HoursPerWeek*WeeksPerYear*RatePerHour*(1+PracticeGrowth)^1736</f>
        <v>1.7539437984469014E+42</v>
      </c>
      <c r="C1738" s="4">
        <f>StudentsY1*(1+StudentGrowth)^1736*CreditsPerStudent*TuitionPerCredit</f>
        <v>1.0962148740293134E+43</v>
      </c>
      <c r="D1738" s="4">
        <f>SimRevY1*(1+SimGrowth)^1736</f>
        <v>3.6030595415259327E+76</v>
      </c>
      <c r="E1738" s="4">
        <f>FacDevRevY1*(1+FacDevGrowth)^1736</f>
        <v>1.8015297707629664E+76</v>
      </c>
      <c r="F1738" s="4">
        <f t="shared" si="108"/>
        <v>5.4045893122888991E+76</v>
      </c>
      <c r="G1738" s="4">
        <f t="shared" si="109"/>
        <v>5.4045893122888991E+76</v>
      </c>
      <c r="H1738" s="4">
        <f>SalaryFTECount*SalaryPerFTE*(1+SalaryGrowth)^1736</f>
        <v>7.8000307968235406E+34</v>
      </c>
      <c r="I1738" s="4">
        <f>SimOpsY1*(1+SimOpsGrowth)^1736</f>
        <v>3.1678220691452231E+62</v>
      </c>
      <c r="J1738" s="4">
        <f>TrainDevY1*(1+TrainDevGrowth)^1736</f>
        <v>1.5839110345726115E+62</v>
      </c>
      <c r="K1738" s="4">
        <f>AdminY1*(1+AdminGrowth)^1736</f>
        <v>1.7061299048600757E+48</v>
      </c>
      <c r="L1738" s="4">
        <f t="shared" si="110"/>
        <v>4.7517331037178518E+62</v>
      </c>
      <c r="M1738" s="4">
        <f t="shared" si="111"/>
        <v>5.4045893122888515E+76</v>
      </c>
    </row>
    <row r="1739" spans="1:13" x14ac:dyDescent="0.2">
      <c r="A1739" s="3">
        <f>StartYear+1737</f>
        <v>3762</v>
      </c>
      <c r="B1739" s="4">
        <f>FacultyFTE*HoursPerWeek*WeeksPerYear*RatePerHour*(1+PracticeGrowth)^1737</f>
        <v>1.8416409883692466E+42</v>
      </c>
      <c r="C1739" s="4">
        <f>StudentsY1*(1+StudentGrowth)^1737*CreditsPerStudent*TuitionPerCredit</f>
        <v>1.1510256177307792E+43</v>
      </c>
      <c r="D1739" s="4">
        <f>SimRevY1*(1+SimGrowth)^1737</f>
        <v>3.9633654956785266E+76</v>
      </c>
      <c r="E1739" s="4">
        <f>FacDevRevY1*(1+FacDevGrowth)^1737</f>
        <v>1.9816827478392633E+76</v>
      </c>
      <c r="F1739" s="4">
        <f t="shared" si="108"/>
        <v>5.9450482435177899E+76</v>
      </c>
      <c r="G1739" s="4">
        <f t="shared" si="109"/>
        <v>5.9450482435177899E+76</v>
      </c>
      <c r="H1739" s="4">
        <f>SalaryFTECount*SalaryPerFTE*(1+SalaryGrowth)^1737</f>
        <v>8.1120320286964833E+34</v>
      </c>
      <c r="I1739" s="4">
        <f>SimOpsY1*(1+SimOpsGrowth)^1737</f>
        <v>3.4212478346768413E+62</v>
      </c>
      <c r="J1739" s="4">
        <f>TrainDevY1*(1+TrainDevGrowth)^1737</f>
        <v>1.7106239173384207E+62</v>
      </c>
      <c r="K1739" s="4">
        <f>AdminY1*(1+AdminGrowth)^1737</f>
        <v>1.8084976991516802E+48</v>
      </c>
      <c r="L1739" s="4">
        <f t="shared" si="110"/>
        <v>5.1318717520152805E+62</v>
      </c>
      <c r="M1739" s="4">
        <f t="shared" si="111"/>
        <v>5.9450482435177385E+76</v>
      </c>
    </row>
    <row r="1740" spans="1:13" x14ac:dyDescent="0.2">
      <c r="A1740" s="3">
        <f>StartYear+1738</f>
        <v>3763</v>
      </c>
      <c r="B1740" s="4">
        <f>FacultyFTE*HoursPerWeek*WeeksPerYear*RatePerHour*(1+PracticeGrowth)^1738</f>
        <v>1.9337230377877088E+42</v>
      </c>
      <c r="C1740" s="4">
        <f>StudentsY1*(1+StudentGrowth)^1738*CreditsPerStudent*TuitionPerCredit</f>
        <v>1.2085768986173181E+43</v>
      </c>
      <c r="D1740" s="4">
        <f>SimRevY1*(1+SimGrowth)^1738</f>
        <v>4.3597020452463792E+76</v>
      </c>
      <c r="E1740" s="4">
        <f>FacDevRevY1*(1+FacDevGrowth)^1738</f>
        <v>2.1798510226231896E+76</v>
      </c>
      <c r="F1740" s="4">
        <f t="shared" si="108"/>
        <v>6.5395530678695684E+76</v>
      </c>
      <c r="G1740" s="4">
        <f t="shared" si="109"/>
        <v>6.5395530678695684E+76</v>
      </c>
      <c r="H1740" s="4">
        <f>SalaryFTECount*SalaryPerFTE*(1+SalaryGrowth)^1738</f>
        <v>8.4365133098443427E+34</v>
      </c>
      <c r="I1740" s="4">
        <f>SimOpsY1*(1+SimOpsGrowth)^1738</f>
        <v>3.6949476614509891E+62</v>
      </c>
      <c r="J1740" s="4">
        <f>TrainDevY1*(1+TrainDevGrowth)^1738</f>
        <v>1.8474738307254946E+62</v>
      </c>
      <c r="K1740" s="4">
        <f>AdminY1*(1+AdminGrowth)^1738</f>
        <v>1.9170075611007812E+48</v>
      </c>
      <c r="L1740" s="4">
        <f t="shared" si="110"/>
        <v>5.5424214921765033E+62</v>
      </c>
      <c r="M1740" s="4">
        <f t="shared" si="111"/>
        <v>6.5395530678695131E+76</v>
      </c>
    </row>
    <row r="1741" spans="1:13" x14ac:dyDescent="0.2">
      <c r="A1741" s="3">
        <f>StartYear+1739</f>
        <v>3764</v>
      </c>
      <c r="B1741" s="4">
        <f>FacultyFTE*HoursPerWeek*WeeksPerYear*RatePerHour*(1+PracticeGrowth)^1739</f>
        <v>2.0304091896770949E+42</v>
      </c>
      <c r="C1741" s="4">
        <f>StudentsY1*(1+StudentGrowth)^1739*CreditsPerStudent*TuitionPerCredit</f>
        <v>1.2690057435481843E+43</v>
      </c>
      <c r="D1741" s="4">
        <f>SimRevY1*(1+SimGrowth)^1739</f>
        <v>4.795672249771017E+76</v>
      </c>
      <c r="E1741" s="4">
        <f>FacDevRevY1*(1+FacDevGrowth)^1739</f>
        <v>2.3978361248855085E+76</v>
      </c>
      <c r="F1741" s="4">
        <f t="shared" si="108"/>
        <v>7.1935083746565262E+76</v>
      </c>
      <c r="G1741" s="4">
        <f t="shared" si="109"/>
        <v>7.1935083746565262E+76</v>
      </c>
      <c r="H1741" s="4">
        <f>SalaryFTECount*SalaryPerFTE*(1+SalaryGrowth)^1739</f>
        <v>8.7739738422381161E+34</v>
      </c>
      <c r="I1741" s="4">
        <f>SimOpsY1*(1+SimOpsGrowth)^1739</f>
        <v>3.9905434743670679E+62</v>
      </c>
      <c r="J1741" s="4">
        <f>TrainDevY1*(1+TrainDevGrowth)^1739</f>
        <v>1.995271737183534E+62</v>
      </c>
      <c r="K1741" s="4">
        <f>AdminY1*(1+AdminGrowth)^1739</f>
        <v>2.0320280147668281E+48</v>
      </c>
      <c r="L1741" s="4">
        <f t="shared" si="110"/>
        <v>5.9858152115506215E+62</v>
      </c>
      <c r="M1741" s="4">
        <f t="shared" si="111"/>
        <v>7.1935083746564657E+76</v>
      </c>
    </row>
    <row r="1742" spans="1:13" x14ac:dyDescent="0.2">
      <c r="A1742" s="3">
        <f>StartYear+1740</f>
        <v>3765</v>
      </c>
      <c r="B1742" s="4">
        <f>FacultyFTE*HoursPerWeek*WeeksPerYear*RatePerHour*(1+PracticeGrowth)^1740</f>
        <v>2.1319296491609487E+42</v>
      </c>
      <c r="C1742" s="4">
        <f>StudentsY1*(1+StudentGrowth)^1740*CreditsPerStudent*TuitionPerCredit</f>
        <v>1.3324560307255929E+43</v>
      </c>
      <c r="D1742" s="4">
        <f>SimRevY1*(1+SimGrowth)^1740</f>
        <v>5.2752394747481188E+76</v>
      </c>
      <c r="E1742" s="4">
        <f>FacDevRevY1*(1+FacDevGrowth)^1740</f>
        <v>2.6376197373740594E+76</v>
      </c>
      <c r="F1742" s="4">
        <f t="shared" si="108"/>
        <v>7.9128592121221783E+76</v>
      </c>
      <c r="G1742" s="4">
        <f t="shared" si="109"/>
        <v>7.9128592121221783E+76</v>
      </c>
      <c r="H1742" s="4">
        <f>SalaryFTECount*SalaryPerFTE*(1+SalaryGrowth)^1740</f>
        <v>9.1249327959276406E+34</v>
      </c>
      <c r="I1742" s="4">
        <f>SimOpsY1*(1+SimOpsGrowth)^1740</f>
        <v>4.3097869523164329E+62</v>
      </c>
      <c r="J1742" s="4">
        <f>TrainDevY1*(1+TrainDevGrowth)^1740</f>
        <v>2.1548934761582165E+62</v>
      </c>
      <c r="K1742" s="4">
        <f>AdminY1*(1+AdminGrowth)^1740</f>
        <v>2.1539496956528383E+48</v>
      </c>
      <c r="L1742" s="4">
        <f t="shared" si="110"/>
        <v>6.4646804284746713E+62</v>
      </c>
      <c r="M1742" s="4">
        <f t="shared" si="111"/>
        <v>7.912859212122114E+76</v>
      </c>
    </row>
    <row r="1743" spans="1:13" x14ac:dyDescent="0.2">
      <c r="A1743" s="3">
        <f>StartYear+1741</f>
        <v>3766</v>
      </c>
      <c r="B1743" s="4">
        <f>FacultyFTE*HoursPerWeek*WeeksPerYear*RatePerHour*(1+PracticeGrowth)^1741</f>
        <v>2.2385261316189967E+42</v>
      </c>
      <c r="C1743" s="4">
        <f>StudentsY1*(1+StudentGrowth)^1741*CreditsPerStudent*TuitionPerCredit</f>
        <v>1.3990788322618729E+43</v>
      </c>
      <c r="D1743" s="4">
        <f>SimRevY1*(1+SimGrowth)^1741</f>
        <v>5.8027634222229312E+76</v>
      </c>
      <c r="E1743" s="4">
        <f>FacDevRevY1*(1+FacDevGrowth)^1741</f>
        <v>2.9013817111114656E+76</v>
      </c>
      <c r="F1743" s="4">
        <f t="shared" si="108"/>
        <v>8.7041451333343969E+76</v>
      </c>
      <c r="G1743" s="4">
        <f t="shared" si="109"/>
        <v>8.7041451333343969E+76</v>
      </c>
      <c r="H1743" s="4">
        <f>SalaryFTECount*SalaryPerFTE*(1+SalaryGrowth)^1741</f>
        <v>9.4899301077647471E+34</v>
      </c>
      <c r="I1743" s="4">
        <f>SimOpsY1*(1+SimOpsGrowth)^1741</f>
        <v>4.6545699085017471E+62</v>
      </c>
      <c r="J1743" s="4">
        <f>TrainDevY1*(1+TrainDevGrowth)^1741</f>
        <v>2.3272849542508736E+62</v>
      </c>
      <c r="K1743" s="4">
        <f>AdminY1*(1+AdminGrowth)^1741</f>
        <v>2.2831866773920088E+48</v>
      </c>
      <c r="L1743" s="4">
        <f t="shared" si="110"/>
        <v>6.981854862752644E+62</v>
      </c>
      <c r="M1743" s="4">
        <f t="shared" si="111"/>
        <v>8.7041451333343274E+76</v>
      </c>
    </row>
    <row r="1744" spans="1:13" x14ac:dyDescent="0.2">
      <c r="A1744" s="3">
        <f>StartYear+1742</f>
        <v>3767</v>
      </c>
      <c r="B1744" s="4">
        <f>FacultyFTE*HoursPerWeek*WeeksPerYear*RatePerHour*(1+PracticeGrowth)^1742</f>
        <v>2.3504524381999461E+42</v>
      </c>
      <c r="C1744" s="4">
        <f>StudentsY1*(1+StudentGrowth)^1742*CreditsPerStudent*TuitionPerCredit</f>
        <v>1.4690327738749663E+43</v>
      </c>
      <c r="D1744" s="4">
        <f>SimRevY1*(1+SimGrowth)^1742</f>
        <v>6.3830397644452259E+76</v>
      </c>
      <c r="E1744" s="4">
        <f>FacDevRevY1*(1+FacDevGrowth)^1742</f>
        <v>3.191519882222613E+76</v>
      </c>
      <c r="F1744" s="4">
        <f t="shared" si="108"/>
        <v>9.5745596466678389E+76</v>
      </c>
      <c r="G1744" s="4">
        <f t="shared" si="109"/>
        <v>9.5745596466678389E+76</v>
      </c>
      <c r="H1744" s="4">
        <f>SalaryFTECount*SalaryPerFTE*(1+SalaryGrowth)^1742</f>
        <v>9.8695273120753375E+34</v>
      </c>
      <c r="I1744" s="4">
        <f>SimOpsY1*(1+SimOpsGrowth)^1742</f>
        <v>5.0269355011818886E+62</v>
      </c>
      <c r="J1744" s="4">
        <f>TrainDevY1*(1+TrainDevGrowth)^1742</f>
        <v>2.5134677505909443E+62</v>
      </c>
      <c r="K1744" s="4">
        <f>AdminY1*(1+AdminGrowth)^1742</f>
        <v>2.4201778780355291E+48</v>
      </c>
      <c r="L1744" s="4">
        <f t="shared" si="110"/>
        <v>7.5404032517728571E+62</v>
      </c>
      <c r="M1744" s="4">
        <f t="shared" si="111"/>
        <v>9.574559646667763E+76</v>
      </c>
    </row>
    <row r="1745" spans="1:13" x14ac:dyDescent="0.2">
      <c r="A1745" s="3">
        <f>StartYear+1743</f>
        <v>3768</v>
      </c>
      <c r="B1745" s="4">
        <f>FacultyFTE*HoursPerWeek*WeeksPerYear*RatePerHour*(1+PracticeGrowth)^1743</f>
        <v>2.467975060109944E+42</v>
      </c>
      <c r="C1745" s="4">
        <f>StudentsY1*(1+StudentGrowth)^1743*CreditsPerStudent*TuitionPerCredit</f>
        <v>1.5424844125687151E+43</v>
      </c>
      <c r="D1745" s="4">
        <f>SimRevY1*(1+SimGrowth)^1743</f>
        <v>7.0213437408897475E+76</v>
      </c>
      <c r="E1745" s="4">
        <f>FacDevRevY1*(1+FacDevGrowth)^1743</f>
        <v>3.5106718704448737E+76</v>
      </c>
      <c r="F1745" s="4">
        <f t="shared" si="108"/>
        <v>1.0532015611334621E+77</v>
      </c>
      <c r="G1745" s="4">
        <f t="shared" si="109"/>
        <v>1.0532015611334621E+77</v>
      </c>
      <c r="H1745" s="4">
        <f>SalaryFTECount*SalaryPerFTE*(1+SalaryGrowth)^1743</f>
        <v>1.0264308404558351E+35</v>
      </c>
      <c r="I1745" s="4">
        <f>SimOpsY1*(1+SimOpsGrowth)^1743</f>
        <v>5.4290903412764394E+62</v>
      </c>
      <c r="J1745" s="4">
        <f>TrainDevY1*(1+TrainDevGrowth)^1743</f>
        <v>2.7145451706382197E+62</v>
      </c>
      <c r="K1745" s="4">
        <f>AdminY1*(1+AdminGrowth)^1743</f>
        <v>2.5653885507176619E+48</v>
      </c>
      <c r="L1745" s="4">
        <f t="shared" si="110"/>
        <v>8.1436355119146842E+62</v>
      </c>
      <c r="M1745" s="4">
        <f t="shared" si="111"/>
        <v>1.053201561133454E+77</v>
      </c>
    </row>
    <row r="1746" spans="1:13" x14ac:dyDescent="0.2">
      <c r="A1746" s="3">
        <f>StartYear+1744</f>
        <v>3769</v>
      </c>
      <c r="B1746" s="4">
        <f>FacultyFTE*HoursPerWeek*WeeksPerYear*RatePerHour*(1+PracticeGrowth)^1744</f>
        <v>2.5913738131154411E+42</v>
      </c>
      <c r="C1746" s="4">
        <f>StudentsY1*(1+StudentGrowth)^1744*CreditsPerStudent*TuitionPerCredit</f>
        <v>1.6196086331971509E+43</v>
      </c>
      <c r="D1746" s="4">
        <f>SimRevY1*(1+SimGrowth)^1744</f>
        <v>7.7234781149787222E+76</v>
      </c>
      <c r="E1746" s="4">
        <f>FacDevRevY1*(1+FacDevGrowth)^1744</f>
        <v>3.8617390574893611E+76</v>
      </c>
      <c r="F1746" s="4">
        <f t="shared" si="108"/>
        <v>1.1585217172468084E+77</v>
      </c>
      <c r="G1746" s="4">
        <f t="shared" si="109"/>
        <v>1.1585217172468084E+77</v>
      </c>
      <c r="H1746" s="4">
        <f>SalaryFTECount*SalaryPerFTE*(1+SalaryGrowth)^1744</f>
        <v>1.0674880740740687E+35</v>
      </c>
      <c r="I1746" s="4">
        <f>SimOpsY1*(1+SimOpsGrowth)^1744</f>
        <v>5.8634175685785548E+62</v>
      </c>
      <c r="J1746" s="4">
        <f>TrainDevY1*(1+TrainDevGrowth)^1744</f>
        <v>2.9317087842892774E+62</v>
      </c>
      <c r="K1746" s="4">
        <f>AdminY1*(1+AdminGrowth)^1744</f>
        <v>2.7193118637607204E+48</v>
      </c>
      <c r="L1746" s="4">
        <f t="shared" si="110"/>
        <v>8.7951263528678596E+62</v>
      </c>
      <c r="M1746" s="4">
        <f t="shared" si="111"/>
        <v>1.1585217172467997E+77</v>
      </c>
    </row>
    <row r="1747" spans="1:13" x14ac:dyDescent="0.2">
      <c r="A1747" s="3">
        <f>StartYear+1745</f>
        <v>3770</v>
      </c>
      <c r="B1747" s="4">
        <f>FacultyFTE*HoursPerWeek*WeeksPerYear*RatePerHour*(1+PracticeGrowth)^1745</f>
        <v>2.7209425037712139E+42</v>
      </c>
      <c r="C1747" s="4">
        <f>StudentsY1*(1+StudentGrowth)^1745*CreditsPerStudent*TuitionPerCredit</f>
        <v>1.7005890648570088E+43</v>
      </c>
      <c r="D1747" s="4">
        <f>SimRevY1*(1+SimGrowth)^1745</f>
        <v>8.4958259264765964E+76</v>
      </c>
      <c r="E1747" s="4">
        <f>FacDevRevY1*(1+FacDevGrowth)^1745</f>
        <v>4.2479129632382982E+76</v>
      </c>
      <c r="F1747" s="4">
        <f t="shared" si="108"/>
        <v>1.2743738889714895E+77</v>
      </c>
      <c r="G1747" s="4">
        <f t="shared" si="109"/>
        <v>1.2743738889714895E+77</v>
      </c>
      <c r="H1747" s="4">
        <f>SalaryFTECount*SalaryPerFTE*(1+SalaryGrowth)^1745</f>
        <v>1.1101875970370314E+35</v>
      </c>
      <c r="I1747" s="4">
        <f>SimOpsY1*(1+SimOpsGrowth)^1745</f>
        <v>6.3324909740648386E+62</v>
      </c>
      <c r="J1747" s="4">
        <f>TrainDevY1*(1+TrainDevGrowth)^1745</f>
        <v>3.1662454870324193E+62</v>
      </c>
      <c r="K1747" s="4">
        <f>AdminY1*(1+AdminGrowth)^1745</f>
        <v>2.8824705755863645E+48</v>
      </c>
      <c r="L1747" s="4">
        <f t="shared" si="110"/>
        <v>9.4987364610972876E+62</v>
      </c>
      <c r="M1747" s="4">
        <f t="shared" si="111"/>
        <v>1.27437388897148E+77</v>
      </c>
    </row>
    <row r="1748" spans="1:13" x14ac:dyDescent="0.2">
      <c r="A1748" s="3">
        <f>StartYear+1746</f>
        <v>3771</v>
      </c>
      <c r="B1748" s="4">
        <f>FacultyFTE*HoursPerWeek*WeeksPerYear*RatePerHour*(1+PracticeGrowth)^1746</f>
        <v>2.856989628959774E+42</v>
      </c>
      <c r="C1748" s="4">
        <f>StudentsY1*(1+StudentGrowth)^1746*CreditsPerStudent*TuitionPerCredit</f>
        <v>1.7856185180998588E+43</v>
      </c>
      <c r="D1748" s="4">
        <f>SimRevY1*(1+SimGrowth)^1746</f>
        <v>9.3454085191242546E+76</v>
      </c>
      <c r="E1748" s="4">
        <f>FacDevRevY1*(1+FacDevGrowth)^1746</f>
        <v>4.6727042595621273E+76</v>
      </c>
      <c r="F1748" s="4">
        <f t="shared" si="108"/>
        <v>1.4018112778686382E+77</v>
      </c>
      <c r="G1748" s="4">
        <f t="shared" si="109"/>
        <v>1.4018112778686382E+77</v>
      </c>
      <c r="H1748" s="4">
        <f>SalaryFTECount*SalaryPerFTE*(1+SalaryGrowth)^1746</f>
        <v>1.1545951009185128E+35</v>
      </c>
      <c r="I1748" s="4">
        <f>SimOpsY1*(1+SimOpsGrowth)^1746</f>
        <v>6.8390902519900285E+62</v>
      </c>
      <c r="J1748" s="4">
        <f>TrainDevY1*(1+TrainDevGrowth)^1746</f>
        <v>3.4195451259950142E+62</v>
      </c>
      <c r="K1748" s="4">
        <f>AdminY1*(1+AdminGrowth)^1746</f>
        <v>3.0554188101215462E+48</v>
      </c>
      <c r="L1748" s="4">
        <f t="shared" si="110"/>
        <v>1.0258635377985073E+63</v>
      </c>
      <c r="M1748" s="4">
        <f t="shared" si="111"/>
        <v>1.4018112778686279E+77</v>
      </c>
    </row>
    <row r="1749" spans="1:13" x14ac:dyDescent="0.2">
      <c r="A1749" s="3">
        <f>StartYear+1747</f>
        <v>3772</v>
      </c>
      <c r="B1749" s="4">
        <f>FacultyFTE*HoursPerWeek*WeeksPerYear*RatePerHour*(1+PracticeGrowth)^1747</f>
        <v>2.9998391104077629E+42</v>
      </c>
      <c r="C1749" s="4">
        <f>StudentsY1*(1+StudentGrowth)^1747*CreditsPerStudent*TuitionPerCredit</f>
        <v>1.8748994440048517E+43</v>
      </c>
      <c r="D1749" s="4">
        <f>SimRevY1*(1+SimGrowth)^1747</f>
        <v>1.0279949371036685E+77</v>
      </c>
      <c r="E1749" s="4">
        <f>FacDevRevY1*(1+FacDevGrowth)^1747</f>
        <v>5.1399746855183427E+76</v>
      </c>
      <c r="F1749" s="4">
        <f t="shared" si="108"/>
        <v>1.5419924056555029E+77</v>
      </c>
      <c r="G1749" s="4">
        <f t="shared" si="109"/>
        <v>1.5419924056555029E+77</v>
      </c>
      <c r="H1749" s="4">
        <f>SalaryFTECount*SalaryPerFTE*(1+SalaryGrowth)^1747</f>
        <v>1.2007789049552534E+35</v>
      </c>
      <c r="I1749" s="4">
        <f>SimOpsY1*(1+SimOpsGrowth)^1747</f>
        <v>7.3862174721492314E+62</v>
      </c>
      <c r="J1749" s="4">
        <f>TrainDevY1*(1+TrainDevGrowth)^1747</f>
        <v>3.6931087360746157E+62</v>
      </c>
      <c r="K1749" s="4">
        <f>AdminY1*(1+AdminGrowth)^1747</f>
        <v>3.2387439387288389E+48</v>
      </c>
      <c r="L1749" s="4">
        <f t="shared" si="110"/>
        <v>1.1079326208223879E+63</v>
      </c>
      <c r="M1749" s="4">
        <f t="shared" si="111"/>
        <v>1.5419924056554918E+77</v>
      </c>
    </row>
    <row r="1750" spans="1:13" x14ac:dyDescent="0.2">
      <c r="A1750" s="3">
        <f>StartYear+1748</f>
        <v>3773</v>
      </c>
      <c r="B1750" s="4">
        <f>FacultyFTE*HoursPerWeek*WeeksPerYear*RatePerHour*(1+PracticeGrowth)^1748</f>
        <v>3.149831065928151E+42</v>
      </c>
      <c r="C1750" s="4">
        <f>StudentsY1*(1+StudentGrowth)^1748*CreditsPerStudent*TuitionPerCredit</f>
        <v>1.9686444162050946E+43</v>
      </c>
      <c r="D1750" s="4">
        <f>SimRevY1*(1+SimGrowth)^1748</f>
        <v>1.130794430814035E+77</v>
      </c>
      <c r="E1750" s="4">
        <f>FacDevRevY1*(1+FacDevGrowth)^1748</f>
        <v>5.653972154070175E+76</v>
      </c>
      <c r="F1750" s="4">
        <f t="shared" si="108"/>
        <v>1.6961916462210526E+77</v>
      </c>
      <c r="G1750" s="4">
        <f t="shared" si="109"/>
        <v>1.6961916462210526E+77</v>
      </c>
      <c r="H1750" s="4">
        <f>SalaryFTECount*SalaryPerFTE*(1+SalaryGrowth)^1748</f>
        <v>1.2488100611534637E+35</v>
      </c>
      <c r="I1750" s="4">
        <f>SimOpsY1*(1+SimOpsGrowth)^1748</f>
        <v>7.9771148699211693E+62</v>
      </c>
      <c r="J1750" s="4">
        <f>TrainDevY1*(1+TrainDevGrowth)^1748</f>
        <v>3.9885574349605847E+62</v>
      </c>
      <c r="K1750" s="4">
        <f>AdminY1*(1+AdminGrowth)^1748</f>
        <v>3.433068575052569E+48</v>
      </c>
      <c r="L1750" s="4">
        <f t="shared" si="110"/>
        <v>1.196567230488179E+63</v>
      </c>
      <c r="M1750" s="4">
        <f t="shared" si="111"/>
        <v>1.6961916462210405E+77</v>
      </c>
    </row>
    <row r="1751" spans="1:13" x14ac:dyDescent="0.2">
      <c r="A1751" s="3">
        <f>StartYear+1749</f>
        <v>3774</v>
      </c>
      <c r="B1751" s="4">
        <f>FacultyFTE*HoursPerWeek*WeeksPerYear*RatePerHour*(1+PracticeGrowth)^1749</f>
        <v>3.3073226192245587E+42</v>
      </c>
      <c r="C1751" s="4">
        <f>StudentsY1*(1+StudentGrowth)^1749*CreditsPerStudent*TuitionPerCredit</f>
        <v>2.0670766370153489E+43</v>
      </c>
      <c r="D1751" s="4">
        <f>SimRevY1*(1+SimGrowth)^1749</f>
        <v>1.2438738738954387E+77</v>
      </c>
      <c r="E1751" s="4">
        <f>FacDevRevY1*(1+FacDevGrowth)^1749</f>
        <v>6.2193693694771937E+76</v>
      </c>
      <c r="F1751" s="4">
        <f t="shared" si="108"/>
        <v>1.8658108108431581E+77</v>
      </c>
      <c r="G1751" s="4">
        <f t="shared" si="109"/>
        <v>1.8658108108431581E+77</v>
      </c>
      <c r="H1751" s="4">
        <f>SalaryFTECount*SalaryPerFTE*(1+SalaryGrowth)^1749</f>
        <v>1.2987624635996022E+35</v>
      </c>
      <c r="I1751" s="4">
        <f>SimOpsY1*(1+SimOpsGrowth)^1749</f>
        <v>8.615284059514863E+62</v>
      </c>
      <c r="J1751" s="4">
        <f>TrainDevY1*(1+TrainDevGrowth)^1749</f>
        <v>4.3076420297574315E+62</v>
      </c>
      <c r="K1751" s="4">
        <f>AdminY1*(1+AdminGrowth)^1749</f>
        <v>3.6390526895557245E+48</v>
      </c>
      <c r="L1751" s="4">
        <f t="shared" si="110"/>
        <v>1.2922926089272332E+63</v>
      </c>
      <c r="M1751" s="4">
        <f t="shared" si="111"/>
        <v>1.8658108108431452E+77</v>
      </c>
    </row>
    <row r="1752" spans="1:13" x14ac:dyDescent="0.2">
      <c r="A1752" s="3">
        <f>StartYear+1750</f>
        <v>3775</v>
      </c>
      <c r="B1752" s="4">
        <f>FacultyFTE*HoursPerWeek*WeeksPerYear*RatePerHour*(1+PracticeGrowth)^1750</f>
        <v>3.472688750185786E+42</v>
      </c>
      <c r="C1752" s="4">
        <f>StudentsY1*(1+StudentGrowth)^1750*CreditsPerStudent*TuitionPerCredit</f>
        <v>2.1704304688661159E+43</v>
      </c>
      <c r="D1752" s="4">
        <f>SimRevY1*(1+SimGrowth)^1750</f>
        <v>1.368261261284983E+77</v>
      </c>
      <c r="E1752" s="4">
        <f>FacDevRevY1*(1+FacDevGrowth)^1750</f>
        <v>6.8413063064249151E+76</v>
      </c>
      <c r="F1752" s="4">
        <f t="shared" si="108"/>
        <v>2.0523918919274747E+77</v>
      </c>
      <c r="G1752" s="4">
        <f t="shared" si="109"/>
        <v>2.0523918919274747E+77</v>
      </c>
      <c r="H1752" s="4">
        <f>SalaryFTECount*SalaryPerFTE*(1+SalaryGrowth)^1750</f>
        <v>1.3507129621435867E+35</v>
      </c>
      <c r="I1752" s="4">
        <f>SimOpsY1*(1+SimOpsGrowth)^1750</f>
        <v>9.3045067842760522E+62</v>
      </c>
      <c r="J1752" s="4">
        <f>TrainDevY1*(1+TrainDevGrowth)^1750</f>
        <v>4.6522533921380261E+62</v>
      </c>
      <c r="K1752" s="4">
        <f>AdminY1*(1+AdminGrowth)^1750</f>
        <v>3.8573958509290684E+48</v>
      </c>
      <c r="L1752" s="4">
        <f t="shared" si="110"/>
        <v>1.3956760176414118E+63</v>
      </c>
      <c r="M1752" s="4">
        <f t="shared" si="111"/>
        <v>2.0523918919274608E+77</v>
      </c>
    </row>
    <row r="1753" spans="1:13" x14ac:dyDescent="0.2">
      <c r="A1753" s="3">
        <f>StartYear+1751</f>
        <v>3776</v>
      </c>
      <c r="B1753" s="4">
        <f>FacultyFTE*HoursPerWeek*WeeksPerYear*RatePerHour*(1+PracticeGrowth)^1751</f>
        <v>3.6463231876950765E+42</v>
      </c>
      <c r="C1753" s="4">
        <f>StudentsY1*(1+StudentGrowth)^1751*CreditsPerStudent*TuitionPerCredit</f>
        <v>2.2789519923094226E+43</v>
      </c>
      <c r="D1753" s="4">
        <f>SimRevY1*(1+SimGrowth)^1751</f>
        <v>1.505087387413481E+77</v>
      </c>
      <c r="E1753" s="4">
        <f>FacDevRevY1*(1+FacDevGrowth)^1751</f>
        <v>7.5254369370674049E+76</v>
      </c>
      <c r="F1753" s="4">
        <f t="shared" si="108"/>
        <v>2.2576310811202216E+77</v>
      </c>
      <c r="G1753" s="4">
        <f t="shared" si="109"/>
        <v>2.2576310811202216E+77</v>
      </c>
      <c r="H1753" s="4">
        <f>SalaryFTECount*SalaryPerFTE*(1+SalaryGrowth)^1751</f>
        <v>1.4047414806293295E+35</v>
      </c>
      <c r="I1753" s="4">
        <f>SimOpsY1*(1+SimOpsGrowth)^1751</f>
        <v>1.0048867327018137E+63</v>
      </c>
      <c r="J1753" s="4">
        <f>TrainDevY1*(1+TrainDevGrowth)^1751</f>
        <v>5.0244336635090686E+62</v>
      </c>
      <c r="K1753" s="4">
        <f>AdminY1*(1+AdminGrowth)^1751</f>
        <v>4.0888396019848131E+48</v>
      </c>
      <c r="L1753" s="4">
        <f t="shared" si="110"/>
        <v>1.5073300990527246E+63</v>
      </c>
      <c r="M1753" s="4">
        <f t="shared" si="111"/>
        <v>2.2576310811202064E+77</v>
      </c>
    </row>
    <row r="1754" spans="1:13" x14ac:dyDescent="0.2">
      <c r="A1754" s="3">
        <f>StartYear+1752</f>
        <v>3777</v>
      </c>
      <c r="B1754" s="4">
        <f>FacultyFTE*HoursPerWeek*WeeksPerYear*RatePerHour*(1+PracticeGrowth)^1752</f>
        <v>3.8286393470798293E+42</v>
      </c>
      <c r="C1754" s="4">
        <f>StudentsY1*(1+StudentGrowth)^1752*CreditsPerStudent*TuitionPerCredit</f>
        <v>2.3928995919248936E+43</v>
      </c>
      <c r="D1754" s="4">
        <f>SimRevY1*(1+SimGrowth)^1752</f>
        <v>1.6555961261548294E+77</v>
      </c>
      <c r="E1754" s="4">
        <f>FacDevRevY1*(1+FacDevGrowth)^1752</f>
        <v>8.2779806307741471E+76</v>
      </c>
      <c r="F1754" s="4">
        <f t="shared" si="108"/>
        <v>2.4833941892322444E+77</v>
      </c>
      <c r="G1754" s="4">
        <f t="shared" si="109"/>
        <v>2.4833941892322444E+77</v>
      </c>
      <c r="H1754" s="4">
        <f>SalaryFTECount*SalaryPerFTE*(1+SalaryGrowth)^1752</f>
        <v>1.4609311398545028E+35</v>
      </c>
      <c r="I1754" s="4">
        <f>SimOpsY1*(1+SimOpsGrowth)^1752</f>
        <v>1.0852776713179588E+63</v>
      </c>
      <c r="J1754" s="4">
        <f>TrainDevY1*(1+TrainDevGrowth)^1752</f>
        <v>5.4263883565897938E+62</v>
      </c>
      <c r="K1754" s="4">
        <f>AdminY1*(1+AdminGrowth)^1752</f>
        <v>4.3341699781039012E+48</v>
      </c>
      <c r="L1754" s="4">
        <f t="shared" si="110"/>
        <v>1.6279165069769424E+63</v>
      </c>
      <c r="M1754" s="4">
        <f t="shared" si="111"/>
        <v>2.4833941892322279E+77</v>
      </c>
    </row>
    <row r="1755" spans="1:13" x14ac:dyDescent="0.2">
      <c r="A1755" s="3">
        <f>StartYear+1753</f>
        <v>3778</v>
      </c>
      <c r="B1755" s="4">
        <f>FacultyFTE*HoursPerWeek*WeeksPerYear*RatePerHour*(1+PracticeGrowth)^1753</f>
        <v>4.0200713144338214E+42</v>
      </c>
      <c r="C1755" s="4">
        <f>StudentsY1*(1+StudentGrowth)^1753*CreditsPerStudent*TuitionPerCredit</f>
        <v>2.5125445715211387E+43</v>
      </c>
      <c r="D1755" s="4">
        <f>SimRevY1*(1+SimGrowth)^1753</f>
        <v>1.8211557387703125E+77</v>
      </c>
      <c r="E1755" s="4">
        <f>FacDevRevY1*(1+FacDevGrowth)^1753</f>
        <v>9.1057786938515623E+76</v>
      </c>
      <c r="F1755" s="4">
        <f t="shared" si="108"/>
        <v>2.7317336081554688E+77</v>
      </c>
      <c r="G1755" s="4">
        <f t="shared" si="109"/>
        <v>2.7317336081554688E+77</v>
      </c>
      <c r="H1755" s="4">
        <f>SalaryFTECount*SalaryPerFTE*(1+SalaryGrowth)^1753</f>
        <v>1.5193683854486834E+35</v>
      </c>
      <c r="I1755" s="4">
        <f>SimOpsY1*(1+SimOpsGrowth)^1753</f>
        <v>1.1720998850233956E+63</v>
      </c>
      <c r="J1755" s="4">
        <f>TrainDevY1*(1+TrainDevGrowth)^1753</f>
        <v>5.8604994251169781E+62</v>
      </c>
      <c r="K1755" s="4">
        <f>AdminY1*(1+AdminGrowth)^1753</f>
        <v>4.5942201767901355E+48</v>
      </c>
      <c r="L1755" s="4">
        <f t="shared" si="110"/>
        <v>1.7581498275350981E+63</v>
      </c>
      <c r="M1755" s="4">
        <f t="shared" si="111"/>
        <v>2.7317336081554513E+77</v>
      </c>
    </row>
    <row r="1756" spans="1:13" x14ac:dyDescent="0.2">
      <c r="A1756" s="3">
        <f>StartYear+1754</f>
        <v>3779</v>
      </c>
      <c r="B1756" s="4">
        <f>FacultyFTE*HoursPerWeek*WeeksPerYear*RatePerHour*(1+PracticeGrowth)^1754</f>
        <v>4.2210748801555123E+42</v>
      </c>
      <c r="C1756" s="4">
        <f>StudentsY1*(1+StudentGrowth)^1754*CreditsPerStudent*TuitionPerCredit</f>
        <v>2.6381718000971946E+43</v>
      </c>
      <c r="D1756" s="4">
        <f>SimRevY1*(1+SimGrowth)^1754</f>
        <v>2.0032713126473441E+77</v>
      </c>
      <c r="E1756" s="4">
        <f>FacDevRevY1*(1+FacDevGrowth)^1754</f>
        <v>1.0016356563236721E+77</v>
      </c>
      <c r="F1756" s="4">
        <f t="shared" si="108"/>
        <v>3.004906968971016E+77</v>
      </c>
      <c r="G1756" s="4">
        <f t="shared" si="109"/>
        <v>3.004906968971016E+77</v>
      </c>
      <c r="H1756" s="4">
        <f>SalaryFTECount*SalaryPerFTE*(1+SalaryGrowth)^1754</f>
        <v>1.5801431208666303E+35</v>
      </c>
      <c r="I1756" s="4">
        <f>SimOpsY1*(1+SimOpsGrowth)^1754</f>
        <v>1.2658678758252673E+63</v>
      </c>
      <c r="J1756" s="4">
        <f>TrainDevY1*(1+TrainDevGrowth)^1754</f>
        <v>6.3293393791263364E+62</v>
      </c>
      <c r="K1756" s="4">
        <f>AdminY1*(1+AdminGrowth)^1754</f>
        <v>4.8698733873975437E+48</v>
      </c>
      <c r="L1756" s="4">
        <f t="shared" si="110"/>
        <v>1.8988018137379056E+63</v>
      </c>
      <c r="M1756" s="4">
        <f t="shared" si="111"/>
        <v>3.0049069689709969E+77</v>
      </c>
    </row>
    <row r="1757" spans="1:13" x14ac:dyDescent="0.2">
      <c r="A1757" s="3">
        <f>StartYear+1755</f>
        <v>3780</v>
      </c>
      <c r="B1757" s="4">
        <f>FacultyFTE*HoursPerWeek*WeeksPerYear*RatePerHour*(1+PracticeGrowth)^1755</f>
        <v>4.4321286241632889E+42</v>
      </c>
      <c r="C1757" s="4">
        <f>StudentsY1*(1+StudentGrowth)^1755*CreditsPerStudent*TuitionPerCredit</f>
        <v>2.7700803901020553E+43</v>
      </c>
      <c r="D1757" s="4">
        <f>SimRevY1*(1+SimGrowth)^1755</f>
        <v>2.2035984439120787E+77</v>
      </c>
      <c r="E1757" s="4">
        <f>FacDevRevY1*(1+FacDevGrowth)^1755</f>
        <v>1.1017992219560394E+77</v>
      </c>
      <c r="F1757" s="4">
        <f t="shared" si="108"/>
        <v>3.3053976658681181E+77</v>
      </c>
      <c r="G1757" s="4">
        <f t="shared" si="109"/>
        <v>3.3053976658681181E+77</v>
      </c>
      <c r="H1757" s="4">
        <f>SalaryFTECount*SalaryPerFTE*(1+SalaryGrowth)^1755</f>
        <v>1.6433488457012959E+35</v>
      </c>
      <c r="I1757" s="4">
        <f>SimOpsY1*(1+SimOpsGrowth)^1755</f>
        <v>1.3671373058912886E+63</v>
      </c>
      <c r="J1757" s="4">
        <f>TrainDevY1*(1+TrainDevGrowth)^1755</f>
        <v>6.835686529456443E+62</v>
      </c>
      <c r="K1757" s="4">
        <f>AdminY1*(1+AdminGrowth)^1755</f>
        <v>5.1620657906413972E+48</v>
      </c>
      <c r="L1757" s="4">
        <f t="shared" si="110"/>
        <v>2.0507059588369379E+63</v>
      </c>
      <c r="M1757" s="4">
        <f t="shared" si="111"/>
        <v>3.3053976658680975E+77</v>
      </c>
    </row>
    <row r="1758" spans="1:13" x14ac:dyDescent="0.2">
      <c r="A1758" s="3">
        <f>StartYear+1756</f>
        <v>3781</v>
      </c>
      <c r="B1758" s="4">
        <f>FacultyFTE*HoursPerWeek*WeeksPerYear*RatePerHour*(1+PracticeGrowth)^1756</f>
        <v>4.6537350553714526E+42</v>
      </c>
      <c r="C1758" s="4">
        <f>StudentsY1*(1+StudentGrowth)^1756*CreditsPerStudent*TuitionPerCredit</f>
        <v>2.9085844096071577E+43</v>
      </c>
      <c r="D1758" s="4">
        <f>SimRevY1*(1+SimGrowth)^1756</f>
        <v>2.4239582883032861E+77</v>
      </c>
      <c r="E1758" s="4">
        <f>FacDevRevY1*(1+FacDevGrowth)^1756</f>
        <v>1.211979144151643E+77</v>
      </c>
      <c r="F1758" s="4">
        <f t="shared" si="108"/>
        <v>3.6359374324549291E+77</v>
      </c>
      <c r="G1758" s="4">
        <f t="shared" si="109"/>
        <v>3.6359374324549291E+77</v>
      </c>
      <c r="H1758" s="4">
        <f>SalaryFTECount*SalaryPerFTE*(1+SalaryGrowth)^1756</f>
        <v>1.7090827995293482E+35</v>
      </c>
      <c r="I1758" s="4">
        <f>SimOpsY1*(1+SimOpsGrowth)^1756</f>
        <v>1.4765082903625917E+63</v>
      </c>
      <c r="J1758" s="4">
        <f>TrainDevY1*(1+TrainDevGrowth)^1756</f>
        <v>7.3825414518129584E+62</v>
      </c>
      <c r="K1758" s="4">
        <f>AdminY1*(1+AdminGrowth)^1756</f>
        <v>5.4717897380798801E+48</v>
      </c>
      <c r="L1758" s="4">
        <f t="shared" si="110"/>
        <v>2.2147624355438931E+63</v>
      </c>
      <c r="M1758" s="4">
        <f t="shared" si="111"/>
        <v>3.635937432454907E+77</v>
      </c>
    </row>
    <row r="1759" spans="1:13" x14ac:dyDescent="0.2">
      <c r="A1759" s="3">
        <f>StartYear+1757</f>
        <v>3782</v>
      </c>
      <c r="B1759" s="4">
        <f>FacultyFTE*HoursPerWeek*WeeksPerYear*RatePerHour*(1+PracticeGrowth)^1757</f>
        <v>4.886421808140026E+42</v>
      </c>
      <c r="C1759" s="4">
        <f>StudentsY1*(1+StudentGrowth)^1757*CreditsPerStudent*TuitionPerCredit</f>
        <v>3.0540136300875159E+43</v>
      </c>
      <c r="D1759" s="4">
        <f>SimRevY1*(1+SimGrowth)^1757</f>
        <v>2.6663541171336149E+77</v>
      </c>
      <c r="E1759" s="4">
        <f>FacDevRevY1*(1+FacDevGrowth)^1757</f>
        <v>1.3331770585668074E+77</v>
      </c>
      <c r="F1759" s="4">
        <f t="shared" si="108"/>
        <v>3.9995311757004226E+77</v>
      </c>
      <c r="G1759" s="4">
        <f t="shared" si="109"/>
        <v>3.9995311757004226E+77</v>
      </c>
      <c r="H1759" s="4">
        <f>SalaryFTECount*SalaryPerFTE*(1+SalaryGrowth)^1757</f>
        <v>1.7774461115105223E+35</v>
      </c>
      <c r="I1759" s="4">
        <f>SimOpsY1*(1+SimOpsGrowth)^1757</f>
        <v>1.5946289535915991E+63</v>
      </c>
      <c r="J1759" s="4">
        <f>TrainDevY1*(1+TrainDevGrowth)^1757</f>
        <v>7.9731447679579953E+62</v>
      </c>
      <c r="K1759" s="4">
        <f>AdminY1*(1+AdminGrowth)^1757</f>
        <v>5.8000971223646742E+48</v>
      </c>
      <c r="L1759" s="4">
        <f t="shared" si="110"/>
        <v>2.3919434303874045E+63</v>
      </c>
      <c r="M1759" s="4">
        <f t="shared" si="111"/>
        <v>3.9995311757003984E+77</v>
      </c>
    </row>
    <row r="1760" spans="1:13" x14ac:dyDescent="0.2">
      <c r="A1760" s="3">
        <f>StartYear+1758</f>
        <v>3783</v>
      </c>
      <c r="B1760" s="4">
        <f>FacultyFTE*HoursPerWeek*WeeksPerYear*RatePerHour*(1+PracticeGrowth)^1758</f>
        <v>5.1307428985470255E+42</v>
      </c>
      <c r="C1760" s="4">
        <f>StudentsY1*(1+StudentGrowth)^1758*CreditsPerStudent*TuitionPerCredit</f>
        <v>3.2067143115918914E+43</v>
      </c>
      <c r="D1760" s="4">
        <f>SimRevY1*(1+SimGrowth)^1758</f>
        <v>2.9329895288469772E+77</v>
      </c>
      <c r="E1760" s="4">
        <f>FacDevRevY1*(1+FacDevGrowth)^1758</f>
        <v>1.4664947644234886E+77</v>
      </c>
      <c r="F1760" s="4">
        <f t="shared" si="108"/>
        <v>4.3994842932704659E+77</v>
      </c>
      <c r="G1760" s="4">
        <f t="shared" si="109"/>
        <v>4.3994842932704659E+77</v>
      </c>
      <c r="H1760" s="4">
        <f>SalaryFTECount*SalaryPerFTE*(1+SalaryGrowth)^1758</f>
        <v>1.8485439559709424E+35</v>
      </c>
      <c r="I1760" s="4">
        <f>SimOpsY1*(1+SimOpsGrowth)^1758</f>
        <v>1.7221992698789274E+63</v>
      </c>
      <c r="J1760" s="4">
        <f>TrainDevY1*(1+TrainDevGrowth)^1758</f>
        <v>8.610996349394637E+62</v>
      </c>
      <c r="K1760" s="4">
        <f>AdminY1*(1+AdminGrowth)^1758</f>
        <v>6.1481029497065557E+48</v>
      </c>
      <c r="L1760" s="4">
        <f t="shared" si="110"/>
        <v>2.5832989048183975E+63</v>
      </c>
      <c r="M1760" s="4">
        <f t="shared" si="111"/>
        <v>4.3994842932704402E+77</v>
      </c>
    </row>
    <row r="1761" spans="1:13" x14ac:dyDescent="0.2">
      <c r="A1761" s="3">
        <f>StartYear+1759</f>
        <v>3784</v>
      </c>
      <c r="B1761" s="4">
        <f>FacultyFTE*HoursPerWeek*WeeksPerYear*RatePerHour*(1+PracticeGrowth)^1759</f>
        <v>5.3872800434743785E+42</v>
      </c>
      <c r="C1761" s="4">
        <f>StudentsY1*(1+StudentGrowth)^1759*CreditsPerStudent*TuitionPerCredit</f>
        <v>3.367050027171487E+43</v>
      </c>
      <c r="D1761" s="4">
        <f>SimRevY1*(1+SimGrowth)^1759</f>
        <v>3.2262884817316747E+77</v>
      </c>
      <c r="E1761" s="4">
        <f>FacDevRevY1*(1+FacDevGrowth)^1759</f>
        <v>1.6131442408658373E+77</v>
      </c>
      <c r="F1761" s="4">
        <f t="shared" si="108"/>
        <v>4.8394327225975122E+77</v>
      </c>
      <c r="G1761" s="4">
        <f t="shared" si="109"/>
        <v>4.8394327225975122E+77</v>
      </c>
      <c r="H1761" s="4">
        <f>SalaryFTECount*SalaryPerFTE*(1+SalaryGrowth)^1759</f>
        <v>1.9224857142097807E+35</v>
      </c>
      <c r="I1761" s="4">
        <f>SimOpsY1*(1+SimOpsGrowth)^1759</f>
        <v>1.8599752114692416E+63</v>
      </c>
      <c r="J1761" s="4">
        <f>TrainDevY1*(1+TrainDevGrowth)^1759</f>
        <v>9.299876057346208E+62</v>
      </c>
      <c r="K1761" s="4">
        <f>AdminY1*(1+AdminGrowth)^1759</f>
        <v>6.5169891266889486E+48</v>
      </c>
      <c r="L1761" s="4">
        <f t="shared" si="110"/>
        <v>2.789962817203869E+63</v>
      </c>
      <c r="M1761" s="4">
        <f t="shared" si="111"/>
        <v>4.8394327225974845E+77</v>
      </c>
    </row>
    <row r="1762" spans="1:13" x14ac:dyDescent="0.2">
      <c r="A1762" s="3">
        <f>StartYear+1760</f>
        <v>3785</v>
      </c>
      <c r="B1762" s="4">
        <f>FacultyFTE*HoursPerWeek*WeeksPerYear*RatePerHour*(1+PracticeGrowth)^1760</f>
        <v>5.6566440456480966E+42</v>
      </c>
      <c r="C1762" s="4">
        <f>StudentsY1*(1+StudentGrowth)^1760*CreditsPerStudent*TuitionPerCredit</f>
        <v>3.5354025285300602E+43</v>
      </c>
      <c r="D1762" s="4">
        <f>SimRevY1*(1+SimGrowth)^1760</f>
        <v>3.5489173299048433E+77</v>
      </c>
      <c r="E1762" s="4">
        <f>FacDevRevY1*(1+FacDevGrowth)^1760</f>
        <v>1.7744586649524217E+77</v>
      </c>
      <c r="F1762" s="4">
        <f t="shared" si="108"/>
        <v>5.3233759948572647E+77</v>
      </c>
      <c r="G1762" s="4">
        <f t="shared" si="109"/>
        <v>5.3233759948572647E+77</v>
      </c>
      <c r="H1762" s="4">
        <f>SalaryFTECount*SalaryPerFTE*(1+SalaryGrowth)^1760</f>
        <v>1.9993851427781722E+35</v>
      </c>
      <c r="I1762" s="4">
        <f>SimOpsY1*(1+SimOpsGrowth)^1760</f>
        <v>2.0087732283867812E+63</v>
      </c>
      <c r="J1762" s="4">
        <f>TrainDevY1*(1+TrainDevGrowth)^1760</f>
        <v>1.0043866141933906E+63</v>
      </c>
      <c r="K1762" s="4">
        <f>AdminY1*(1+AdminGrowth)^1760</f>
        <v>6.908008474290285E+48</v>
      </c>
      <c r="L1762" s="4">
        <f t="shared" si="110"/>
        <v>3.0131598425801786E+63</v>
      </c>
      <c r="M1762" s="4">
        <f t="shared" si="111"/>
        <v>5.3233759948572349E+77</v>
      </c>
    </row>
    <row r="1763" spans="1:13" x14ac:dyDescent="0.2">
      <c r="A1763" s="3">
        <f>StartYear+1761</f>
        <v>3786</v>
      </c>
      <c r="B1763" s="4">
        <f>FacultyFTE*HoursPerWeek*WeeksPerYear*RatePerHour*(1+PracticeGrowth)^1761</f>
        <v>5.9394762479305017E+42</v>
      </c>
      <c r="C1763" s="4">
        <f>StudentsY1*(1+StudentGrowth)^1761*CreditsPerStudent*TuitionPerCredit</f>
        <v>3.7121726549565636E+43</v>
      </c>
      <c r="D1763" s="4">
        <f>SimRevY1*(1+SimGrowth)^1761</f>
        <v>3.903809062895327E+77</v>
      </c>
      <c r="E1763" s="4">
        <f>FacDevRevY1*(1+FacDevGrowth)^1761</f>
        <v>1.9519045314476635E+77</v>
      </c>
      <c r="F1763" s="4">
        <f t="shared" si="108"/>
        <v>5.8557135943429905E+77</v>
      </c>
      <c r="G1763" s="4">
        <f t="shared" si="109"/>
        <v>5.8557135943429905E+77</v>
      </c>
      <c r="H1763" s="4">
        <f>SalaryFTECount*SalaryPerFTE*(1+SalaryGrowth)^1761</f>
        <v>2.0793605484892989E+35</v>
      </c>
      <c r="I1763" s="4">
        <f>SimOpsY1*(1+SimOpsGrowth)^1761</f>
        <v>2.1694750866577232E+63</v>
      </c>
      <c r="J1763" s="4">
        <f>TrainDevY1*(1+TrainDevGrowth)^1761</f>
        <v>1.0847375433288616E+63</v>
      </c>
      <c r="K1763" s="4">
        <f>AdminY1*(1+AdminGrowth)^1761</f>
        <v>7.3224889827477012E+48</v>
      </c>
      <c r="L1763" s="4">
        <f t="shared" si="110"/>
        <v>3.2542126299865922E+63</v>
      </c>
      <c r="M1763" s="4">
        <f t="shared" si="111"/>
        <v>5.8557135943429575E+77</v>
      </c>
    </row>
    <row r="1764" spans="1:13" x14ac:dyDescent="0.2">
      <c r="A1764" s="3">
        <f>StartYear+1762</f>
        <v>3787</v>
      </c>
      <c r="B1764" s="4">
        <f>FacultyFTE*HoursPerWeek*WeeksPerYear*RatePerHour*(1+PracticeGrowth)^1762</f>
        <v>6.2364500603270266E+42</v>
      </c>
      <c r="C1764" s="4">
        <f>StudentsY1*(1+StudentGrowth)^1762*CreditsPerStudent*TuitionPerCredit</f>
        <v>3.8977812877043916E+43</v>
      </c>
      <c r="D1764" s="4">
        <f>SimRevY1*(1+SimGrowth)^1762</f>
        <v>4.2941899691848601E+77</v>
      </c>
      <c r="E1764" s="4">
        <f>FacDevRevY1*(1+FacDevGrowth)^1762</f>
        <v>2.14709498459243E+77</v>
      </c>
      <c r="F1764" s="4">
        <f t="shared" si="108"/>
        <v>6.4412849537772896E+77</v>
      </c>
      <c r="G1764" s="4">
        <f t="shared" si="109"/>
        <v>6.4412849537772896E+77</v>
      </c>
      <c r="H1764" s="4">
        <f>SalaryFTECount*SalaryPerFTE*(1+SalaryGrowth)^1762</f>
        <v>2.162534970428871E+35</v>
      </c>
      <c r="I1764" s="4">
        <f>SimOpsY1*(1+SimOpsGrowth)^1762</f>
        <v>2.343033093590341E+63</v>
      </c>
      <c r="J1764" s="4">
        <f>TrainDevY1*(1+TrainDevGrowth)^1762</f>
        <v>1.1715165467951705E+63</v>
      </c>
      <c r="K1764" s="4">
        <f>AdminY1*(1+AdminGrowth)^1762</f>
        <v>7.7618383217125643E+48</v>
      </c>
      <c r="L1764" s="4">
        <f t="shared" si="110"/>
        <v>3.51454964038552E+63</v>
      </c>
      <c r="M1764" s="4">
        <f t="shared" si="111"/>
        <v>6.4412849537772546E+77</v>
      </c>
    </row>
    <row r="1765" spans="1:13" x14ac:dyDescent="0.2">
      <c r="A1765" s="3">
        <f>StartYear+1763</f>
        <v>3788</v>
      </c>
      <c r="B1765" s="4">
        <f>FacultyFTE*HoursPerWeek*WeeksPerYear*RatePerHour*(1+PracticeGrowth)^1763</f>
        <v>6.5482725633433794E+42</v>
      </c>
      <c r="C1765" s="4">
        <f>StudentsY1*(1+StudentGrowth)^1763*CreditsPerStudent*TuitionPerCredit</f>
        <v>4.0926703520896127E+43</v>
      </c>
      <c r="D1765" s="4">
        <f>SimRevY1*(1+SimGrowth)^1763</f>
        <v>4.7236089661033462E+77</v>
      </c>
      <c r="E1765" s="4">
        <f>FacDevRevY1*(1+FacDevGrowth)^1763</f>
        <v>2.3618044830516731E+77</v>
      </c>
      <c r="F1765" s="4">
        <f t="shared" si="108"/>
        <v>7.0854134491550188E+77</v>
      </c>
      <c r="G1765" s="4">
        <f t="shared" si="109"/>
        <v>7.0854134491550188E+77</v>
      </c>
      <c r="H1765" s="4">
        <f>SalaryFTECount*SalaryPerFTE*(1+SalaryGrowth)^1763</f>
        <v>2.2490363692460259E+35</v>
      </c>
      <c r="I1765" s="4">
        <f>SimOpsY1*(1+SimOpsGrowth)^1763</f>
        <v>2.5304757410775693E+63</v>
      </c>
      <c r="J1765" s="4">
        <f>TrainDevY1*(1+TrainDevGrowth)^1763</f>
        <v>1.2652378705387846E+63</v>
      </c>
      <c r="K1765" s="4">
        <f>AdminY1*(1+AdminGrowth)^1763</f>
        <v>8.2275486210153178E+48</v>
      </c>
      <c r="L1765" s="4">
        <f t="shared" si="110"/>
        <v>3.795713611616362E+63</v>
      </c>
      <c r="M1765" s="4">
        <f t="shared" si="111"/>
        <v>7.0854134491549807E+77</v>
      </c>
    </row>
    <row r="1766" spans="1:13" x14ac:dyDescent="0.2">
      <c r="A1766" s="3">
        <f>StartYear+1764</f>
        <v>3789</v>
      </c>
      <c r="B1766" s="4">
        <f>FacultyFTE*HoursPerWeek*WeeksPerYear*RatePerHour*(1+PracticeGrowth)^1764</f>
        <v>6.8756861915105468E+42</v>
      </c>
      <c r="C1766" s="4">
        <f>StudentsY1*(1+StudentGrowth)^1764*CreditsPerStudent*TuitionPerCredit</f>
        <v>4.2973038696940924E+43</v>
      </c>
      <c r="D1766" s="4">
        <f>SimRevY1*(1+SimGrowth)^1764</f>
        <v>5.1959698627136815E+77</v>
      </c>
      <c r="E1766" s="4">
        <f>FacDevRevY1*(1+FacDevGrowth)^1764</f>
        <v>2.5979849313568408E+77</v>
      </c>
      <c r="F1766" s="4">
        <f t="shared" si="108"/>
        <v>7.7939547940705223E+77</v>
      </c>
      <c r="G1766" s="4">
        <f t="shared" si="109"/>
        <v>7.7939547940705223E+77</v>
      </c>
      <c r="H1766" s="4">
        <f>SalaryFTECount*SalaryPerFTE*(1+SalaryGrowth)^1764</f>
        <v>2.3389978240158672E+35</v>
      </c>
      <c r="I1766" s="4">
        <f>SimOpsY1*(1+SimOpsGrowth)^1764</f>
        <v>2.7329138003637751E+63</v>
      </c>
      <c r="J1766" s="4">
        <f>TrainDevY1*(1+TrainDevGrowth)^1764</f>
        <v>1.3664569001818876E+63</v>
      </c>
      <c r="K1766" s="4">
        <f>AdminY1*(1+AdminGrowth)^1764</f>
        <v>8.7212015382762402E+48</v>
      </c>
      <c r="L1766" s="4">
        <f t="shared" si="110"/>
        <v>4.0993707005456715E+63</v>
      </c>
      <c r="M1766" s="4">
        <f t="shared" si="111"/>
        <v>7.7939547940704812E+77</v>
      </c>
    </row>
    <row r="1767" spans="1:13" x14ac:dyDescent="0.2">
      <c r="A1767" s="3">
        <f>StartYear+1765</f>
        <v>3790</v>
      </c>
      <c r="B1767" s="4">
        <f>FacultyFTE*HoursPerWeek*WeeksPerYear*RatePerHour*(1+PracticeGrowth)^1765</f>
        <v>7.2194705010860732E+42</v>
      </c>
      <c r="C1767" s="4">
        <f>StudentsY1*(1+StudentGrowth)^1765*CreditsPerStudent*TuitionPerCredit</f>
        <v>4.5121690631787956E+43</v>
      </c>
      <c r="D1767" s="4">
        <f>SimRevY1*(1+SimGrowth)^1765</f>
        <v>5.7155668489850499E+77</v>
      </c>
      <c r="E1767" s="4">
        <f>FacDevRevY1*(1+FacDevGrowth)^1765</f>
        <v>2.8577834244925249E+77</v>
      </c>
      <c r="F1767" s="4">
        <f t="shared" si="108"/>
        <v>8.5733502734775748E+77</v>
      </c>
      <c r="G1767" s="4">
        <f t="shared" si="109"/>
        <v>8.5733502734775748E+77</v>
      </c>
      <c r="H1767" s="4">
        <f>SalaryFTECount*SalaryPerFTE*(1+SalaryGrowth)^1765</f>
        <v>2.4325577369765022E+35</v>
      </c>
      <c r="I1767" s="4">
        <f>SimOpsY1*(1+SimOpsGrowth)^1765</f>
        <v>2.951546904392877E+63</v>
      </c>
      <c r="J1767" s="4">
        <f>TrainDevY1*(1+TrainDevGrowth)^1765</f>
        <v>1.4757734521964385E+63</v>
      </c>
      <c r="K1767" s="4">
        <f>AdminY1*(1+AdminGrowth)^1765</f>
        <v>9.2444736305728124E+48</v>
      </c>
      <c r="L1767" s="4">
        <f t="shared" si="110"/>
        <v>4.4273203565893252E+63</v>
      </c>
      <c r="M1767" s="4">
        <f t="shared" si="111"/>
        <v>8.5733502734775306E+77</v>
      </c>
    </row>
    <row r="1768" spans="1:13" x14ac:dyDescent="0.2">
      <c r="A1768" s="3">
        <f>StartYear+1766</f>
        <v>3791</v>
      </c>
      <c r="B1768" s="4">
        <f>FacultyFTE*HoursPerWeek*WeeksPerYear*RatePerHour*(1+PracticeGrowth)^1766</f>
        <v>7.5804440261403776E+42</v>
      </c>
      <c r="C1768" s="4">
        <f>StudentsY1*(1+StudentGrowth)^1766*CreditsPerStudent*TuitionPerCredit</f>
        <v>4.7377775163377354E+43</v>
      </c>
      <c r="D1768" s="4">
        <f>SimRevY1*(1+SimGrowth)^1766</f>
        <v>6.2871235338835553E+77</v>
      </c>
      <c r="E1768" s="4">
        <f>FacDevRevY1*(1+FacDevGrowth)^1766</f>
        <v>3.1435617669417776E+77</v>
      </c>
      <c r="F1768" s="4">
        <f t="shared" si="108"/>
        <v>9.430685300825334E+77</v>
      </c>
      <c r="G1768" s="4">
        <f t="shared" si="109"/>
        <v>9.430685300825334E+77</v>
      </c>
      <c r="H1768" s="4">
        <f>SalaryFTECount*SalaryPerFTE*(1+SalaryGrowth)^1766</f>
        <v>2.5298600464555614E+35</v>
      </c>
      <c r="I1768" s="4">
        <f>SimOpsY1*(1+SimOpsGrowth)^1766</f>
        <v>3.1876706567443078E+63</v>
      </c>
      <c r="J1768" s="4">
        <f>TrainDevY1*(1+TrainDevGrowth)^1766</f>
        <v>1.5938353283721539E+63</v>
      </c>
      <c r="K1768" s="4">
        <f>AdminY1*(1+AdminGrowth)^1766</f>
        <v>9.7991420484071841E+48</v>
      </c>
      <c r="L1768" s="4">
        <f t="shared" si="110"/>
        <v>4.7815059851164713E+63</v>
      </c>
      <c r="M1768" s="4">
        <f t="shared" si="111"/>
        <v>9.4306853008252867E+77</v>
      </c>
    </row>
    <row r="1769" spans="1:13" x14ac:dyDescent="0.2">
      <c r="A1769" s="3">
        <f>StartYear+1767</f>
        <v>3792</v>
      </c>
      <c r="B1769" s="4">
        <f>FacultyFTE*HoursPerWeek*WeeksPerYear*RatePerHour*(1+PracticeGrowth)^1767</f>
        <v>7.9594662274473984E+42</v>
      </c>
      <c r="C1769" s="4">
        <f>StudentsY1*(1+StudentGrowth)^1767*CreditsPerStudent*TuitionPerCredit</f>
        <v>4.9746663921546238E+43</v>
      </c>
      <c r="D1769" s="4">
        <f>SimRevY1*(1+SimGrowth)^1767</f>
        <v>6.9158358872719108E+77</v>
      </c>
      <c r="E1769" s="4">
        <f>FacDevRevY1*(1+FacDevGrowth)^1767</f>
        <v>3.4579179436359554E+77</v>
      </c>
      <c r="F1769" s="4">
        <f t="shared" si="108"/>
        <v>1.0373753830907866E+78</v>
      </c>
      <c r="G1769" s="4">
        <f t="shared" si="109"/>
        <v>1.0373753830907866E+78</v>
      </c>
      <c r="H1769" s="4">
        <f>SalaryFTECount*SalaryPerFTE*(1+SalaryGrowth)^1767</f>
        <v>2.6310544483137842E+35</v>
      </c>
      <c r="I1769" s="4">
        <f>SimOpsY1*(1+SimOpsGrowth)^1767</f>
        <v>3.4426843092838521E+63</v>
      </c>
      <c r="J1769" s="4">
        <f>TrainDevY1*(1+TrainDevGrowth)^1767</f>
        <v>1.7213421546419261E+63</v>
      </c>
      <c r="K1769" s="4">
        <f>AdminY1*(1+AdminGrowth)^1767</f>
        <v>1.0387090571311617E+49</v>
      </c>
      <c r="L1769" s="4">
        <f t="shared" si="110"/>
        <v>5.1640264639257881E+63</v>
      </c>
      <c r="M1769" s="4">
        <f t="shared" si="111"/>
        <v>1.0373753830907814E+78</v>
      </c>
    </row>
    <row r="1770" spans="1:13" x14ac:dyDescent="0.2">
      <c r="A1770" s="3">
        <f>StartYear+1768</f>
        <v>3793</v>
      </c>
      <c r="B1770" s="4">
        <f>FacultyFTE*HoursPerWeek*WeeksPerYear*RatePerHour*(1+PracticeGrowth)^1768</f>
        <v>8.3574395388197664E+42</v>
      </c>
      <c r="C1770" s="4">
        <f>StudentsY1*(1+StudentGrowth)^1768*CreditsPerStudent*TuitionPerCredit</f>
        <v>5.2233997117623539E+43</v>
      </c>
      <c r="D1770" s="4">
        <f>SimRevY1*(1+SimGrowth)^1768</f>
        <v>7.607419475999103E+77</v>
      </c>
      <c r="E1770" s="4">
        <f>FacDevRevY1*(1+FacDevGrowth)^1768</f>
        <v>3.8037097379995515E+77</v>
      </c>
      <c r="F1770" s="4">
        <f t="shared" si="108"/>
        <v>1.1411129213998655E+78</v>
      </c>
      <c r="G1770" s="4">
        <f t="shared" si="109"/>
        <v>1.1411129213998655E+78</v>
      </c>
      <c r="H1770" s="4">
        <f>SalaryFTECount*SalaryPerFTE*(1+SalaryGrowth)^1768</f>
        <v>2.7362966262463369E+35</v>
      </c>
      <c r="I1770" s="4">
        <f>SimOpsY1*(1+SimOpsGrowth)^1768</f>
        <v>3.7180990540265606E+63</v>
      </c>
      <c r="J1770" s="4">
        <f>TrainDevY1*(1+TrainDevGrowth)^1768</f>
        <v>1.8590495270132803E+63</v>
      </c>
      <c r="K1770" s="4">
        <f>AdminY1*(1+AdminGrowth)^1768</f>
        <v>1.1010316005590312E+49</v>
      </c>
      <c r="L1770" s="4">
        <f t="shared" si="110"/>
        <v>5.5771485810398519E+63</v>
      </c>
      <c r="M1770" s="4">
        <f t="shared" si="111"/>
        <v>1.1411129213998599E+78</v>
      </c>
    </row>
    <row r="1771" spans="1:13" x14ac:dyDescent="0.2">
      <c r="A1771" s="3">
        <f>StartYear+1769</f>
        <v>3794</v>
      </c>
      <c r="B1771" s="4">
        <f>FacultyFTE*HoursPerWeek*WeeksPerYear*RatePerHour*(1+PracticeGrowth)^1769</f>
        <v>8.7753115157607575E+42</v>
      </c>
      <c r="C1771" s="4">
        <f>StudentsY1*(1+StudentGrowth)^1769*CreditsPerStudent*TuitionPerCredit</f>
        <v>5.4845696973504731E+43</v>
      </c>
      <c r="D1771" s="4">
        <f>SimRevY1*(1+SimGrowth)^1769</f>
        <v>8.3681614235990135E+77</v>
      </c>
      <c r="E1771" s="4">
        <f>FacDevRevY1*(1+FacDevGrowth)^1769</f>
        <v>4.1840807117995068E+77</v>
      </c>
      <c r="F1771" s="4">
        <f t="shared" si="108"/>
        <v>1.255224213539852E+78</v>
      </c>
      <c r="G1771" s="4">
        <f t="shared" si="109"/>
        <v>1.255224213539852E+78</v>
      </c>
      <c r="H1771" s="4">
        <f>SalaryFTECount*SalaryPerFTE*(1+SalaryGrowth)^1769</f>
        <v>2.8457484912961898E+35</v>
      </c>
      <c r="I1771" s="4">
        <f>SimOpsY1*(1+SimOpsGrowth)^1769</f>
        <v>4.0155469783486856E+63</v>
      </c>
      <c r="J1771" s="4">
        <f>TrainDevY1*(1+TrainDevGrowth)^1769</f>
        <v>2.0077734891743428E+63</v>
      </c>
      <c r="K1771" s="4">
        <f>AdminY1*(1+AdminGrowth)^1769</f>
        <v>1.167093496592573E+49</v>
      </c>
      <c r="L1771" s="4">
        <f t="shared" si="110"/>
        <v>6.0233204675230397E+63</v>
      </c>
      <c r="M1771" s="4">
        <f t="shared" si="111"/>
        <v>1.255224213539846E+78</v>
      </c>
    </row>
    <row r="1772" spans="1:13" x14ac:dyDescent="0.2">
      <c r="A1772" s="3">
        <f>StartYear+1770</f>
        <v>3795</v>
      </c>
      <c r="B1772" s="4">
        <f>FacultyFTE*HoursPerWeek*WeeksPerYear*RatePerHour*(1+PracticeGrowth)^1770</f>
        <v>9.214077091548795E+42</v>
      </c>
      <c r="C1772" s="4">
        <f>StudentsY1*(1+StudentGrowth)^1770*CreditsPerStudent*TuitionPerCredit</f>
        <v>5.7587981822179978E+43</v>
      </c>
      <c r="D1772" s="4">
        <f>SimRevY1*(1+SimGrowth)^1770</f>
        <v>9.2049775659589168E+77</v>
      </c>
      <c r="E1772" s="4">
        <f>FacDevRevY1*(1+FacDevGrowth)^1770</f>
        <v>4.6024887829794584E+77</v>
      </c>
      <c r="F1772" s="4">
        <f t="shared" si="108"/>
        <v>1.3807466348938375E+78</v>
      </c>
      <c r="G1772" s="4">
        <f t="shared" si="109"/>
        <v>1.3807466348938375E+78</v>
      </c>
      <c r="H1772" s="4">
        <f>SalaryFTECount*SalaryPerFTE*(1+SalaryGrowth)^1770</f>
        <v>2.9595784309480372E+35</v>
      </c>
      <c r="I1772" s="4">
        <f>SimOpsY1*(1+SimOpsGrowth)^1770</f>
        <v>4.3367907366165801E+63</v>
      </c>
      <c r="J1772" s="4">
        <f>TrainDevY1*(1+TrainDevGrowth)^1770</f>
        <v>2.16839536830829E+63</v>
      </c>
      <c r="K1772" s="4">
        <f>AdminY1*(1+AdminGrowth)^1770</f>
        <v>1.2371191063881276E+49</v>
      </c>
      <c r="L1772" s="4">
        <f t="shared" si="110"/>
        <v>6.5051861049248829E+63</v>
      </c>
      <c r="M1772" s="4">
        <f t="shared" si="111"/>
        <v>1.3807466348938309E+78</v>
      </c>
    </row>
    <row r="1773" spans="1:13" x14ac:dyDescent="0.2">
      <c r="A1773" s="3">
        <f>StartYear+1771</f>
        <v>3796</v>
      </c>
      <c r="B1773" s="4">
        <f>FacultyFTE*HoursPerWeek*WeeksPerYear*RatePerHour*(1+PracticeGrowth)^1771</f>
        <v>9.6747809461262336E+42</v>
      </c>
      <c r="C1773" s="4">
        <f>StudentsY1*(1+StudentGrowth)^1771*CreditsPerStudent*TuitionPerCredit</f>
        <v>6.0467380913288968E+43</v>
      </c>
      <c r="D1773" s="4">
        <f>SimRevY1*(1+SimGrowth)^1771</f>
        <v>1.0125475322554807E+78</v>
      </c>
      <c r="E1773" s="4">
        <f>FacDevRevY1*(1+FacDevGrowth)^1771</f>
        <v>5.0627376612774036E+77</v>
      </c>
      <c r="F1773" s="4">
        <f t="shared" si="108"/>
        <v>1.5188212983832212E+78</v>
      </c>
      <c r="G1773" s="4">
        <f t="shared" si="109"/>
        <v>1.5188212983832212E+78</v>
      </c>
      <c r="H1773" s="4">
        <f>SalaryFTECount*SalaryPerFTE*(1+SalaryGrowth)^1771</f>
        <v>3.077961568185959E+35</v>
      </c>
      <c r="I1773" s="4">
        <f>SimOpsY1*(1+SimOpsGrowth)^1771</f>
        <v>4.6837339955459061E+63</v>
      </c>
      <c r="J1773" s="4">
        <f>TrainDevY1*(1+TrainDevGrowth)^1771</f>
        <v>2.341866997772953E+63</v>
      </c>
      <c r="K1773" s="4">
        <f>AdminY1*(1+AdminGrowth)^1771</f>
        <v>1.3113462527714156E+49</v>
      </c>
      <c r="L1773" s="4">
        <f t="shared" si="110"/>
        <v>7.0256009933188715E+63</v>
      </c>
      <c r="M1773" s="4">
        <f t="shared" si="111"/>
        <v>1.5188212983832142E+78</v>
      </c>
    </row>
    <row r="1774" spans="1:13" x14ac:dyDescent="0.2">
      <c r="A1774" s="3">
        <f>StartYear+1772</f>
        <v>3797</v>
      </c>
      <c r="B1774" s="4">
        <f>FacultyFTE*HoursPerWeek*WeeksPerYear*RatePerHour*(1+PracticeGrowth)^1772</f>
        <v>1.0158519993432545E+43</v>
      </c>
      <c r="C1774" s="4">
        <f>StudentsY1*(1+StudentGrowth)^1772*CreditsPerStudent*TuitionPerCredit</f>
        <v>6.3490749958953411E+43</v>
      </c>
      <c r="D1774" s="4">
        <f>SimRevY1*(1+SimGrowth)^1772</f>
        <v>1.1138022854810289E+78</v>
      </c>
      <c r="E1774" s="4">
        <f>FacDevRevY1*(1+FacDevGrowth)^1772</f>
        <v>5.5690114274051443E+77</v>
      </c>
      <c r="F1774" s="4">
        <f t="shared" si="108"/>
        <v>1.6707034282215434E+78</v>
      </c>
      <c r="G1774" s="4">
        <f t="shared" si="109"/>
        <v>1.6707034282215434E+78</v>
      </c>
      <c r="H1774" s="4">
        <f>SalaryFTECount*SalaryPerFTE*(1+SalaryGrowth)^1772</f>
        <v>3.2010800309133974E+35</v>
      </c>
      <c r="I1774" s="4">
        <f>SimOpsY1*(1+SimOpsGrowth)^1772</f>
        <v>5.0584327151895803E+63</v>
      </c>
      <c r="J1774" s="4">
        <f>TrainDevY1*(1+TrainDevGrowth)^1772</f>
        <v>2.5292163575947901E+63</v>
      </c>
      <c r="K1774" s="4">
        <f>AdminY1*(1+AdminGrowth)^1772</f>
        <v>1.3900270279377006E+49</v>
      </c>
      <c r="L1774" s="4">
        <f t="shared" si="110"/>
        <v>7.5876490727843854E+63</v>
      </c>
      <c r="M1774" s="4">
        <f t="shared" si="111"/>
        <v>1.6707034282215358E+78</v>
      </c>
    </row>
    <row r="1775" spans="1:13" x14ac:dyDescent="0.2">
      <c r="A1775" s="3">
        <f>StartYear+1773</f>
        <v>3798</v>
      </c>
      <c r="B1775" s="4">
        <f>FacultyFTE*HoursPerWeek*WeeksPerYear*RatePerHour*(1+PracticeGrowth)^1773</f>
        <v>1.0666445993104175E+43</v>
      </c>
      <c r="C1775" s="4">
        <f>StudentsY1*(1+StudentGrowth)^1773*CreditsPerStudent*TuitionPerCredit</f>
        <v>6.6665287456901084E+43</v>
      </c>
      <c r="D1775" s="4">
        <f>SimRevY1*(1+SimGrowth)^1773</f>
        <v>1.225182514029132E+78</v>
      </c>
      <c r="E1775" s="4">
        <f>FacDevRevY1*(1+FacDevGrowth)^1773</f>
        <v>6.1259125701456599E+77</v>
      </c>
      <c r="F1775" s="4">
        <f t="shared" si="108"/>
        <v>1.8377737710436979E+78</v>
      </c>
      <c r="G1775" s="4">
        <f t="shared" si="109"/>
        <v>1.8377737710436979E+78</v>
      </c>
      <c r="H1775" s="4">
        <f>SalaryFTECount*SalaryPerFTE*(1+SalaryGrowth)^1773</f>
        <v>3.3291232321499337E+35</v>
      </c>
      <c r="I1775" s="4">
        <f>SimOpsY1*(1+SimOpsGrowth)^1773</f>
        <v>5.4631073324047464E+63</v>
      </c>
      <c r="J1775" s="4">
        <f>TrainDevY1*(1+TrainDevGrowth)^1773</f>
        <v>2.7315536662023732E+63</v>
      </c>
      <c r="K1775" s="4">
        <f>AdminY1*(1+AdminGrowth)^1773</f>
        <v>1.4734286496139629E+49</v>
      </c>
      <c r="L1775" s="4">
        <f t="shared" si="110"/>
        <v>8.1946609986071342E+63</v>
      </c>
      <c r="M1775" s="4">
        <f t="shared" si="111"/>
        <v>1.8377737710436896E+78</v>
      </c>
    </row>
    <row r="1776" spans="1:13" x14ac:dyDescent="0.2">
      <c r="A1776" s="3">
        <f>StartYear+1774</f>
        <v>3799</v>
      </c>
      <c r="B1776" s="4">
        <f>FacultyFTE*HoursPerWeek*WeeksPerYear*RatePerHour*(1+PracticeGrowth)^1774</f>
        <v>1.1199768292759379E+43</v>
      </c>
      <c r="C1776" s="4">
        <f>StudentsY1*(1+StudentGrowth)^1774*CreditsPerStudent*TuitionPerCredit</f>
        <v>6.9998551829746121E+43</v>
      </c>
      <c r="D1776" s="4">
        <f>SimRevY1*(1+SimGrowth)^1774</f>
        <v>1.3477007654320454E+78</v>
      </c>
      <c r="E1776" s="4">
        <f>FacDevRevY1*(1+FacDevGrowth)^1774</f>
        <v>6.7385038271602268E+77</v>
      </c>
      <c r="F1776" s="4">
        <f t="shared" si="108"/>
        <v>2.0215511481480681E+78</v>
      </c>
      <c r="G1776" s="4">
        <f t="shared" si="109"/>
        <v>2.0215511481480681E+78</v>
      </c>
      <c r="H1776" s="4">
        <f>SalaryFTECount*SalaryPerFTE*(1+SalaryGrowth)^1774</f>
        <v>3.4622881614359309E+35</v>
      </c>
      <c r="I1776" s="4">
        <f>SimOpsY1*(1+SimOpsGrowth)^1774</f>
        <v>5.9001559189971267E+63</v>
      </c>
      <c r="J1776" s="4">
        <f>TrainDevY1*(1+TrainDevGrowth)^1774</f>
        <v>2.9500779594985633E+63</v>
      </c>
      <c r="K1776" s="4">
        <f>AdminY1*(1+AdminGrowth)^1774</f>
        <v>1.5618343685908005E+49</v>
      </c>
      <c r="L1776" s="4">
        <f t="shared" si="110"/>
        <v>8.8502338784957057E+63</v>
      </c>
      <c r="M1776" s="4">
        <f t="shared" si="111"/>
        <v>2.0215511481480591E+78</v>
      </c>
    </row>
    <row r="1777" spans="1:13" x14ac:dyDescent="0.2">
      <c r="A1777" s="3">
        <f>StartYear+1775</f>
        <v>3800</v>
      </c>
      <c r="B1777" s="4">
        <f>FacultyFTE*HoursPerWeek*WeeksPerYear*RatePerHour*(1+PracticeGrowth)^1775</f>
        <v>1.1759756707397354E+43</v>
      </c>
      <c r="C1777" s="4">
        <f>StudentsY1*(1+StudentGrowth)^1775*CreditsPerStudent*TuitionPerCredit</f>
        <v>7.3498479421233467E+43</v>
      </c>
      <c r="D1777" s="4">
        <f>SimRevY1*(1+SimGrowth)^1775</f>
        <v>1.4824708419752499E+78</v>
      </c>
      <c r="E1777" s="4">
        <f>FacDevRevY1*(1+FacDevGrowth)^1775</f>
        <v>7.4123542098762496E+77</v>
      </c>
      <c r="F1777" s="4">
        <f t="shared" si="108"/>
        <v>2.2237062629628749E+78</v>
      </c>
      <c r="G1777" s="4">
        <f t="shared" si="109"/>
        <v>2.2237062629628749E+78</v>
      </c>
      <c r="H1777" s="4">
        <f>SalaryFTECount*SalaryPerFTE*(1+SalaryGrowth)^1775</f>
        <v>3.6007796878933689E+35</v>
      </c>
      <c r="I1777" s="4">
        <f>SimOpsY1*(1+SimOpsGrowth)^1775</f>
        <v>6.3721683925168976E+63</v>
      </c>
      <c r="J1777" s="4">
        <f>TrainDevY1*(1+TrainDevGrowth)^1775</f>
        <v>3.1860841962584488E+63</v>
      </c>
      <c r="K1777" s="4">
        <f>AdminY1*(1+AdminGrowth)^1775</f>
        <v>1.6555444307062489E+49</v>
      </c>
      <c r="L1777" s="4">
        <f t="shared" si="110"/>
        <v>9.5582525887753625E+63</v>
      </c>
      <c r="M1777" s="4">
        <f t="shared" si="111"/>
        <v>2.2237062629628654E+78</v>
      </c>
    </row>
    <row r="1778" spans="1:13" x14ac:dyDescent="0.2">
      <c r="A1778" s="3">
        <f>StartYear+1776</f>
        <v>3801</v>
      </c>
      <c r="B1778" s="4">
        <f>FacultyFTE*HoursPerWeek*WeeksPerYear*RatePerHour*(1+PracticeGrowth)^1776</f>
        <v>1.2347744542767221E+43</v>
      </c>
      <c r="C1778" s="4">
        <f>StudentsY1*(1+StudentGrowth)^1776*CreditsPerStudent*TuitionPerCredit</f>
        <v>7.7173403392295124E+43</v>
      </c>
      <c r="D1778" s="4">
        <f>SimRevY1*(1+SimGrowth)^1776</f>
        <v>1.6307179261727749E+78</v>
      </c>
      <c r="E1778" s="4">
        <f>FacDevRevY1*(1+FacDevGrowth)^1776</f>
        <v>8.1535896308638743E+77</v>
      </c>
      <c r="F1778" s="4">
        <f t="shared" si="108"/>
        <v>2.4460768892591624E+78</v>
      </c>
      <c r="G1778" s="4">
        <f t="shared" si="109"/>
        <v>2.4460768892591624E+78</v>
      </c>
      <c r="H1778" s="4">
        <f>SalaryFTECount*SalaryPerFTE*(1+SalaryGrowth)^1776</f>
        <v>3.7448108754091034E+35</v>
      </c>
      <c r="I1778" s="4">
        <f>SimOpsY1*(1+SimOpsGrowth)^1776</f>
        <v>6.8819418639182495E+63</v>
      </c>
      <c r="J1778" s="4">
        <f>TrainDevY1*(1+TrainDevGrowth)^1776</f>
        <v>3.4409709319591248E+63</v>
      </c>
      <c r="K1778" s="4">
        <f>AdminY1*(1+AdminGrowth)^1776</f>
        <v>1.754877096548623E+49</v>
      </c>
      <c r="L1778" s="4">
        <f t="shared" si="110"/>
        <v>1.0322912795877392E+64</v>
      </c>
      <c r="M1778" s="4">
        <f t="shared" si="111"/>
        <v>2.4460768892591521E+78</v>
      </c>
    </row>
    <row r="1779" spans="1:13" x14ac:dyDescent="0.2">
      <c r="A1779" s="3">
        <f>StartYear+1777</f>
        <v>3802</v>
      </c>
      <c r="B1779" s="4">
        <f>FacultyFTE*HoursPerWeek*WeeksPerYear*RatePerHour*(1+PracticeGrowth)^1777</f>
        <v>1.2965131769905582E+43</v>
      </c>
      <c r="C1779" s="4">
        <f>StudentsY1*(1+StudentGrowth)^1777*CreditsPerStudent*TuitionPerCredit</f>
        <v>8.1032073561909897E+43</v>
      </c>
      <c r="D1779" s="4">
        <f>SimRevY1*(1+SimGrowth)^1777</f>
        <v>1.7937897187900526E+78</v>
      </c>
      <c r="E1779" s="4">
        <f>FacDevRevY1*(1+FacDevGrowth)^1777</f>
        <v>8.9689485939502631E+77</v>
      </c>
      <c r="F1779" s="4">
        <f t="shared" si="108"/>
        <v>2.6906845781850791E+78</v>
      </c>
      <c r="G1779" s="4">
        <f t="shared" si="109"/>
        <v>2.6906845781850791E+78</v>
      </c>
      <c r="H1779" s="4">
        <f>SalaryFTECount*SalaryPerFTE*(1+SalaryGrowth)^1777</f>
        <v>3.8946033104254678E+35</v>
      </c>
      <c r="I1779" s="4">
        <f>SimOpsY1*(1+SimOpsGrowth)^1777</f>
        <v>7.4324972130317098E+63</v>
      </c>
      <c r="J1779" s="4">
        <f>TrainDevY1*(1+TrainDevGrowth)^1777</f>
        <v>3.7162486065158549E+63</v>
      </c>
      <c r="K1779" s="4">
        <f>AdminY1*(1+AdminGrowth)^1777</f>
        <v>1.860169722341541E+49</v>
      </c>
      <c r="L1779" s="4">
        <f t="shared" si="110"/>
        <v>1.1148745819547584E+64</v>
      </c>
      <c r="M1779" s="4">
        <f t="shared" si="111"/>
        <v>2.690684578185068E+78</v>
      </c>
    </row>
    <row r="1780" spans="1:13" x14ac:dyDescent="0.2">
      <c r="A1780" s="3">
        <f>StartYear+1778</f>
        <v>3803</v>
      </c>
      <c r="B1780" s="4">
        <f>FacultyFTE*HoursPerWeek*WeeksPerYear*RatePerHour*(1+PracticeGrowth)^1778</f>
        <v>1.3613388358400861E+43</v>
      </c>
      <c r="C1780" s="4">
        <f>StudentsY1*(1+StudentGrowth)^1778*CreditsPerStudent*TuitionPerCredit</f>
        <v>8.5083677240005384E+43</v>
      </c>
      <c r="D1780" s="4">
        <f>SimRevY1*(1+SimGrowth)^1778</f>
        <v>1.9731686906690578E+78</v>
      </c>
      <c r="E1780" s="4">
        <f>FacDevRevY1*(1+FacDevGrowth)^1778</f>
        <v>9.8658434533452892E+77</v>
      </c>
      <c r="F1780" s="4">
        <f t="shared" si="108"/>
        <v>2.9597530360035866E+78</v>
      </c>
      <c r="G1780" s="4">
        <f t="shared" si="109"/>
        <v>2.9597530360035866E+78</v>
      </c>
      <c r="H1780" s="4">
        <f>SalaryFTECount*SalaryPerFTE*(1+SalaryGrowth)^1778</f>
        <v>4.0503874428424869E+35</v>
      </c>
      <c r="I1780" s="4">
        <f>SimOpsY1*(1+SimOpsGrowth)^1778</f>
        <v>8.0270969900742468E+63</v>
      </c>
      <c r="J1780" s="4">
        <f>TrainDevY1*(1+TrainDevGrowth)^1778</f>
        <v>4.0135484950371234E+63</v>
      </c>
      <c r="K1780" s="4">
        <f>AdminY1*(1+AdminGrowth)^1778</f>
        <v>1.9717799056820333E+49</v>
      </c>
      <c r="L1780" s="4">
        <f t="shared" si="110"/>
        <v>1.2040645485111388E+64</v>
      </c>
      <c r="M1780" s="4">
        <f t="shared" si="111"/>
        <v>2.9597530360035746E+78</v>
      </c>
    </row>
    <row r="1781" spans="1:13" x14ac:dyDescent="0.2">
      <c r="A1781" s="3">
        <f>StartYear+1779</f>
        <v>3804</v>
      </c>
      <c r="B1781" s="4">
        <f>FacultyFTE*HoursPerWeek*WeeksPerYear*RatePerHour*(1+PracticeGrowth)^1779</f>
        <v>1.4294057776320904E+43</v>
      </c>
      <c r="C1781" s="4">
        <f>StudentsY1*(1+StudentGrowth)^1779*CreditsPerStudent*TuitionPerCredit</f>
        <v>8.9337861102005639E+43</v>
      </c>
      <c r="D1781" s="4">
        <f>SimRevY1*(1+SimGrowth)^1779</f>
        <v>2.170485559735964E+78</v>
      </c>
      <c r="E1781" s="4">
        <f>FacDevRevY1*(1+FacDevGrowth)^1779</f>
        <v>1.085242779867982E+78</v>
      </c>
      <c r="F1781" s="4">
        <f t="shared" si="108"/>
        <v>3.2557283396039462E+78</v>
      </c>
      <c r="G1781" s="4">
        <f t="shared" si="109"/>
        <v>3.2557283396039462E+78</v>
      </c>
      <c r="H1781" s="4">
        <f>SalaryFTECount*SalaryPerFTE*(1+SalaryGrowth)^1779</f>
        <v>4.2124029405561859E+35</v>
      </c>
      <c r="I1781" s="4">
        <f>SimOpsY1*(1+SimOpsGrowth)^1779</f>
        <v>8.6692647492801875E+63</v>
      </c>
      <c r="J1781" s="4">
        <f>TrainDevY1*(1+TrainDevGrowth)^1779</f>
        <v>4.3346323746400938E+63</v>
      </c>
      <c r="K1781" s="4">
        <f>AdminY1*(1+AdminGrowth)^1779</f>
        <v>2.0900867000229555E+49</v>
      </c>
      <c r="L1781" s="4">
        <f t="shared" si="110"/>
        <v>1.3003897123920302E+64</v>
      </c>
      <c r="M1781" s="4">
        <f t="shared" si="111"/>
        <v>3.255728339603933E+78</v>
      </c>
    </row>
    <row r="1782" spans="1:13" x14ac:dyDescent="0.2">
      <c r="A1782" s="3">
        <f>StartYear+1780</f>
        <v>3805</v>
      </c>
      <c r="B1782" s="4">
        <f>FacultyFTE*HoursPerWeek*WeeksPerYear*RatePerHour*(1+PracticeGrowth)^1780</f>
        <v>1.5008760665136952E+43</v>
      </c>
      <c r="C1782" s="4">
        <f>StudentsY1*(1+StudentGrowth)^1780*CreditsPerStudent*TuitionPerCredit</f>
        <v>9.380475415710596E+43</v>
      </c>
      <c r="D1782" s="4">
        <f>SimRevY1*(1+SimGrowth)^1780</f>
        <v>2.3875341157095607E+78</v>
      </c>
      <c r="E1782" s="4">
        <f>FacDevRevY1*(1+FacDevGrowth)^1780</f>
        <v>1.1937670578547803E+78</v>
      </c>
      <c r="F1782" s="4">
        <f t="shared" si="108"/>
        <v>3.5813011735643412E+78</v>
      </c>
      <c r="G1782" s="4">
        <f t="shared" si="109"/>
        <v>3.5813011735643412E+78</v>
      </c>
      <c r="H1782" s="4">
        <f>SalaryFTECount*SalaryPerFTE*(1+SalaryGrowth)^1780</f>
        <v>4.3808990581784332E+35</v>
      </c>
      <c r="I1782" s="4">
        <f>SimOpsY1*(1+SimOpsGrowth)^1780</f>
        <v>9.3628059292226029E+63</v>
      </c>
      <c r="J1782" s="4">
        <f>TrainDevY1*(1+TrainDevGrowth)^1780</f>
        <v>4.6814029646113014E+63</v>
      </c>
      <c r="K1782" s="4">
        <f>AdminY1*(1+AdminGrowth)^1780</f>
        <v>2.2154919020243327E+49</v>
      </c>
      <c r="L1782" s="4">
        <f t="shared" si="110"/>
        <v>1.4044208893833928E+64</v>
      </c>
      <c r="M1782" s="4">
        <f t="shared" si="111"/>
        <v>3.5813011735643272E+78</v>
      </c>
    </row>
    <row r="1783" spans="1:13" x14ac:dyDescent="0.2">
      <c r="A1783" s="3">
        <f>StartYear+1781</f>
        <v>3806</v>
      </c>
      <c r="B1783" s="4">
        <f>FacultyFTE*HoursPerWeek*WeeksPerYear*RatePerHour*(1+PracticeGrowth)^1781</f>
        <v>1.5759198698393793E+43</v>
      </c>
      <c r="C1783" s="4">
        <f>StudentsY1*(1+StudentGrowth)^1781*CreditsPerStudent*TuitionPerCredit</f>
        <v>9.8494991864961218E+43</v>
      </c>
      <c r="D1783" s="4">
        <f>SimRevY1*(1+SimGrowth)^1781</f>
        <v>2.6262875272805168E+78</v>
      </c>
      <c r="E1783" s="4">
        <f>FacDevRevY1*(1+FacDevGrowth)^1781</f>
        <v>1.3131437636402584E+78</v>
      </c>
      <c r="F1783" s="4">
        <f t="shared" si="108"/>
        <v>3.9394312909207756E+78</v>
      </c>
      <c r="G1783" s="4">
        <f t="shared" si="109"/>
        <v>3.9394312909207756E+78</v>
      </c>
      <c r="H1783" s="4">
        <f>SalaryFTECount*SalaryPerFTE*(1+SalaryGrowth)^1781</f>
        <v>4.5561350205055729E+35</v>
      </c>
      <c r="I1783" s="4">
        <f>SimOpsY1*(1+SimOpsGrowth)^1781</f>
        <v>1.011183040356041E+64</v>
      </c>
      <c r="J1783" s="4">
        <f>TrainDevY1*(1+TrainDevGrowth)^1781</f>
        <v>5.0559152017802052E+63</v>
      </c>
      <c r="K1783" s="4">
        <f>AdminY1*(1+AdminGrowth)^1781</f>
        <v>2.3484214161457936E+49</v>
      </c>
      <c r="L1783" s="4">
        <f t="shared" si="110"/>
        <v>1.5167745605340638E+64</v>
      </c>
      <c r="M1783" s="4">
        <f t="shared" si="111"/>
        <v>3.9394312909207608E+78</v>
      </c>
    </row>
    <row r="1784" spans="1:13" x14ac:dyDescent="0.2">
      <c r="A1784" s="3">
        <f>StartYear+1782</f>
        <v>3807</v>
      </c>
      <c r="B1784" s="4">
        <f>FacultyFTE*HoursPerWeek*WeeksPerYear*RatePerHour*(1+PracticeGrowth)^1782</f>
        <v>1.6547158633313481E+43</v>
      </c>
      <c r="C1784" s="4">
        <f>StudentsY1*(1+StudentGrowth)^1782*CreditsPerStudent*TuitionPerCredit</f>
        <v>1.0341974145820925E+44</v>
      </c>
      <c r="D1784" s="4">
        <f>SimRevY1*(1+SimGrowth)^1782</f>
        <v>2.8889162800085685E+78</v>
      </c>
      <c r="E1784" s="4">
        <f>FacDevRevY1*(1+FacDevGrowth)^1782</f>
        <v>1.4444581400042842E+78</v>
      </c>
      <c r="F1784" s="4">
        <f t="shared" si="108"/>
        <v>4.3333744200128525E+78</v>
      </c>
      <c r="G1784" s="4">
        <f t="shared" si="109"/>
        <v>4.3333744200128525E+78</v>
      </c>
      <c r="H1784" s="4">
        <f>SalaryFTECount*SalaryPerFTE*(1+SalaryGrowth)^1782</f>
        <v>4.7383804213257947E+35</v>
      </c>
      <c r="I1784" s="4">
        <f>SimOpsY1*(1+SimOpsGrowth)^1782</f>
        <v>1.0920776835845244E+64</v>
      </c>
      <c r="J1784" s="4">
        <f>TrainDevY1*(1+TrainDevGrowth)^1782</f>
        <v>5.4603884179226222E+63</v>
      </c>
      <c r="K1784" s="4">
        <f>AdminY1*(1+AdminGrowth)^1782</f>
        <v>2.4893267011145409E+49</v>
      </c>
      <c r="L1784" s="4">
        <f t="shared" si="110"/>
        <v>1.6381165253767892E+64</v>
      </c>
      <c r="M1784" s="4">
        <f t="shared" si="111"/>
        <v>4.333374420012836E+78</v>
      </c>
    </row>
    <row r="1785" spans="1:13" x14ac:dyDescent="0.2">
      <c r="A1785" s="3">
        <f>StartYear+1783</f>
        <v>3808</v>
      </c>
      <c r="B1785" s="4">
        <f>FacultyFTE*HoursPerWeek*WeeksPerYear*RatePerHour*(1+PracticeGrowth)^1783</f>
        <v>1.7374516564979161E+43</v>
      </c>
      <c r="C1785" s="4">
        <f>StudentsY1*(1+StudentGrowth)^1783*CreditsPerStudent*TuitionPerCredit</f>
        <v>1.0859072853111977E+44</v>
      </c>
      <c r="D1785" s="4">
        <f>SimRevY1*(1+SimGrowth)^1783</f>
        <v>3.1778079080094263E+78</v>
      </c>
      <c r="E1785" s="4">
        <f>FacDevRevY1*(1+FacDevGrowth)^1783</f>
        <v>1.5889039540047132E+78</v>
      </c>
      <c r="F1785" s="4">
        <f t="shared" si="108"/>
        <v>4.7667118620141393E+78</v>
      </c>
      <c r="G1785" s="4">
        <f t="shared" si="109"/>
        <v>4.7667118620141393E+78</v>
      </c>
      <c r="H1785" s="4">
        <f>SalaryFTECount*SalaryPerFTE*(1+SalaryGrowth)^1783</f>
        <v>4.9279156381788262E+35</v>
      </c>
      <c r="I1785" s="4">
        <f>SimOpsY1*(1+SimOpsGrowth)^1783</f>
        <v>1.1794438982712863E+64</v>
      </c>
      <c r="J1785" s="4">
        <f>TrainDevY1*(1+TrainDevGrowth)^1783</f>
        <v>5.8972194913564316E+63</v>
      </c>
      <c r="K1785" s="4">
        <f>AdminY1*(1+AdminGrowth)^1783</f>
        <v>2.6386863031814137E+49</v>
      </c>
      <c r="L1785" s="4">
        <f t="shared" si="110"/>
        <v>1.769165847406932E+64</v>
      </c>
      <c r="M1785" s="4">
        <f t="shared" si="111"/>
        <v>4.7667118620141212E+78</v>
      </c>
    </row>
    <row r="1786" spans="1:13" x14ac:dyDescent="0.2">
      <c r="A1786" s="3">
        <f>StartYear+1784</f>
        <v>3809</v>
      </c>
      <c r="B1786" s="4">
        <f>FacultyFTE*HoursPerWeek*WeeksPerYear*RatePerHour*(1+PracticeGrowth)^1784</f>
        <v>1.8243242393228119E+43</v>
      </c>
      <c r="C1786" s="4">
        <f>StudentsY1*(1+StudentGrowth)^1784*CreditsPerStudent*TuitionPerCredit</f>
        <v>1.1402026495767575E+44</v>
      </c>
      <c r="D1786" s="4">
        <f>SimRevY1*(1+SimGrowth)^1784</f>
        <v>3.4955886988103677E+78</v>
      </c>
      <c r="E1786" s="4">
        <f>FacDevRevY1*(1+FacDevGrowth)^1784</f>
        <v>1.7477943494051839E+78</v>
      </c>
      <c r="F1786" s="4">
        <f t="shared" si="108"/>
        <v>5.2433830482155518E+78</v>
      </c>
      <c r="G1786" s="4">
        <f t="shared" si="109"/>
        <v>5.2433830482155518E+78</v>
      </c>
      <c r="H1786" s="4">
        <f>SalaryFTECount*SalaryPerFTE*(1+SalaryGrowth)^1784</f>
        <v>5.1250322637059787E+35</v>
      </c>
      <c r="I1786" s="4">
        <f>SimOpsY1*(1+SimOpsGrowth)^1784</f>
        <v>1.2737994101329895E+64</v>
      </c>
      <c r="J1786" s="4">
        <f>TrainDevY1*(1+TrainDevGrowth)^1784</f>
        <v>6.3689970506649473E+63</v>
      </c>
      <c r="K1786" s="4">
        <f>AdminY1*(1+AdminGrowth)^1784</f>
        <v>2.7970074813722977E+49</v>
      </c>
      <c r="L1786" s="4">
        <f t="shared" si="110"/>
        <v>1.9106991151994871E+64</v>
      </c>
      <c r="M1786" s="4">
        <f t="shared" si="111"/>
        <v>5.2433830482155328E+78</v>
      </c>
    </row>
    <row r="1787" spans="1:13" x14ac:dyDescent="0.2">
      <c r="A1787" s="3">
        <f>StartYear+1785</f>
        <v>3810</v>
      </c>
      <c r="B1787" s="4">
        <f>FacultyFTE*HoursPerWeek*WeeksPerYear*RatePerHour*(1+PracticeGrowth)^1785</f>
        <v>1.9155404512889523E+43</v>
      </c>
      <c r="C1787" s="4">
        <f>StudentsY1*(1+StudentGrowth)^1785*CreditsPerStudent*TuitionPerCredit</f>
        <v>1.1972127820555951E+44</v>
      </c>
      <c r="D1787" s="4">
        <f>SimRevY1*(1+SimGrowth)^1785</f>
        <v>3.8451475686914063E+78</v>
      </c>
      <c r="E1787" s="4">
        <f>FacDevRevY1*(1+FacDevGrowth)^1785</f>
        <v>1.9225737843457032E+78</v>
      </c>
      <c r="F1787" s="4">
        <f t="shared" si="108"/>
        <v>5.7677213530371095E+78</v>
      </c>
      <c r="G1787" s="4">
        <f t="shared" si="109"/>
        <v>5.7677213530371095E+78</v>
      </c>
      <c r="H1787" s="4">
        <f>SalaryFTECount*SalaryPerFTE*(1+SalaryGrowth)^1785</f>
        <v>5.3300335542542214E+35</v>
      </c>
      <c r="I1787" s="4">
        <f>SimOpsY1*(1+SimOpsGrowth)^1785</f>
        <v>1.3757033629436285E+64</v>
      </c>
      <c r="J1787" s="4">
        <f>TrainDevY1*(1+TrainDevGrowth)^1785</f>
        <v>6.8785168147181427E+63</v>
      </c>
      <c r="K1787" s="4">
        <f>AdminY1*(1+AdminGrowth)^1785</f>
        <v>2.9648279302546367E+49</v>
      </c>
      <c r="L1787" s="4">
        <f t="shared" si="110"/>
        <v>2.0635550444154457E+64</v>
      </c>
      <c r="M1787" s="4">
        <f t="shared" si="111"/>
        <v>5.7677213530370889E+78</v>
      </c>
    </row>
    <row r="1788" spans="1:13" x14ac:dyDescent="0.2">
      <c r="A1788" s="3">
        <f>StartYear+1786</f>
        <v>3811</v>
      </c>
      <c r="B1788" s="4">
        <f>FacultyFTE*HoursPerWeek*WeeksPerYear*RatePerHour*(1+PracticeGrowth)^1786</f>
        <v>2.0113174738534002E+43</v>
      </c>
      <c r="C1788" s="4">
        <f>StudentsY1*(1+StudentGrowth)^1786*CreditsPerStudent*TuitionPerCredit</f>
        <v>1.2570734211583749E+44</v>
      </c>
      <c r="D1788" s="4">
        <f>SimRevY1*(1+SimGrowth)^1786</f>
        <v>4.229662325560546E+78</v>
      </c>
      <c r="E1788" s="4">
        <f>FacDevRevY1*(1+FacDevGrowth)^1786</f>
        <v>2.114831162780273E+78</v>
      </c>
      <c r="F1788" s="4">
        <f t="shared" si="108"/>
        <v>6.3444934883408194E+78</v>
      </c>
      <c r="G1788" s="4">
        <f t="shared" si="109"/>
        <v>6.3444934883408194E+78</v>
      </c>
      <c r="H1788" s="4">
        <f>SalaryFTECount*SalaryPerFTE*(1+SalaryGrowth)^1786</f>
        <v>5.5432348964243872E+35</v>
      </c>
      <c r="I1788" s="4">
        <f>SimOpsY1*(1+SimOpsGrowth)^1786</f>
        <v>1.4857596319791189E+64</v>
      </c>
      <c r="J1788" s="4">
        <f>TrainDevY1*(1+TrainDevGrowth)^1786</f>
        <v>7.4287981598955945E+63</v>
      </c>
      <c r="K1788" s="4">
        <f>AdminY1*(1+AdminGrowth)^1786</f>
        <v>3.1427176060699138E+49</v>
      </c>
      <c r="L1788" s="4">
        <f t="shared" si="110"/>
        <v>2.2286394479686817E+64</v>
      </c>
      <c r="M1788" s="4">
        <f t="shared" si="111"/>
        <v>6.3444934883407972E+78</v>
      </c>
    </row>
    <row r="1789" spans="1:13" x14ac:dyDescent="0.2">
      <c r="A1789" s="3">
        <f>StartYear+1787</f>
        <v>3812</v>
      </c>
      <c r="B1789" s="4">
        <f>FacultyFTE*HoursPerWeek*WeeksPerYear*RatePerHour*(1+PracticeGrowth)^1787</f>
        <v>2.1118833475460702E+43</v>
      </c>
      <c r="C1789" s="4">
        <f>StudentsY1*(1+StudentGrowth)^1787*CreditsPerStudent*TuitionPerCredit</f>
        <v>1.319927092216294E+44</v>
      </c>
      <c r="D1789" s="4">
        <f>SimRevY1*(1+SimGrowth)^1787</f>
        <v>4.6526285581166016E+78</v>
      </c>
      <c r="E1789" s="4">
        <f>FacDevRevY1*(1+FacDevGrowth)^1787</f>
        <v>2.3263142790583008E+78</v>
      </c>
      <c r="F1789" s="4">
        <f t="shared" si="108"/>
        <v>6.9789428371749025E+78</v>
      </c>
      <c r="G1789" s="4">
        <f t="shared" si="109"/>
        <v>6.9789428371749025E+78</v>
      </c>
      <c r="H1789" s="4">
        <f>SalaryFTECount*SalaryPerFTE*(1+SalaryGrowth)^1787</f>
        <v>5.7649642922813634E+35</v>
      </c>
      <c r="I1789" s="4">
        <f>SimOpsY1*(1+SimOpsGrowth)^1787</f>
        <v>1.6046204025374485E+64</v>
      </c>
      <c r="J1789" s="4">
        <f>TrainDevY1*(1+TrainDevGrowth)^1787</f>
        <v>8.0231020126872424E+63</v>
      </c>
      <c r="K1789" s="4">
        <f>AdminY1*(1+AdminGrowth)^1787</f>
        <v>3.3312806624341102E+49</v>
      </c>
      <c r="L1789" s="4">
        <f t="shared" si="110"/>
        <v>2.4069306038061761E+64</v>
      </c>
      <c r="M1789" s="4">
        <f t="shared" si="111"/>
        <v>6.9789428371748786E+78</v>
      </c>
    </row>
    <row r="1790" spans="1:13" x14ac:dyDescent="0.2">
      <c r="A1790" s="3">
        <f>StartYear+1788</f>
        <v>3813</v>
      </c>
      <c r="B1790" s="4">
        <f>FacultyFTE*HoursPerWeek*WeeksPerYear*RatePerHour*(1+PracticeGrowth)^1788</f>
        <v>2.2174775149233736E+43</v>
      </c>
      <c r="C1790" s="4">
        <f>StudentsY1*(1+StudentGrowth)^1788*CreditsPerStudent*TuitionPerCredit</f>
        <v>1.3859234468271083E+44</v>
      </c>
      <c r="D1790" s="4">
        <f>SimRevY1*(1+SimGrowth)^1788</f>
        <v>5.1178914139282615E+78</v>
      </c>
      <c r="E1790" s="4">
        <f>FacDevRevY1*(1+FacDevGrowth)^1788</f>
        <v>2.5589457069641307E+78</v>
      </c>
      <c r="F1790" s="4">
        <f t="shared" si="108"/>
        <v>7.6768371208923918E+78</v>
      </c>
      <c r="G1790" s="4">
        <f t="shared" si="109"/>
        <v>7.6768371208923918E+78</v>
      </c>
      <c r="H1790" s="4">
        <f>SalaryFTECount*SalaryPerFTE*(1+SalaryGrowth)^1788</f>
        <v>5.9955628639726197E+35</v>
      </c>
      <c r="I1790" s="4">
        <f>SimOpsY1*(1+SimOpsGrowth)^1788</f>
        <v>1.7329900347404444E+64</v>
      </c>
      <c r="J1790" s="4">
        <f>TrainDevY1*(1+TrainDevGrowth)^1788</f>
        <v>8.6649501737022218E+63</v>
      </c>
      <c r="K1790" s="4">
        <f>AdminY1*(1+AdminGrowth)^1788</f>
        <v>3.5311575021801563E+49</v>
      </c>
      <c r="L1790" s="4">
        <f t="shared" si="110"/>
        <v>2.59948505211067E+64</v>
      </c>
      <c r="M1790" s="4">
        <f t="shared" si="111"/>
        <v>7.6768371208923655E+78</v>
      </c>
    </row>
    <row r="1791" spans="1:13" x14ac:dyDescent="0.2">
      <c r="A1791" s="3">
        <f>StartYear+1789</f>
        <v>3814</v>
      </c>
      <c r="B1791" s="4">
        <f>FacultyFTE*HoursPerWeek*WeeksPerYear*RatePerHour*(1+PracticeGrowth)^1789</f>
        <v>2.3283513906695424E+43</v>
      </c>
      <c r="C1791" s="4">
        <f>StudentsY1*(1+StudentGrowth)^1789*CreditsPerStudent*TuitionPerCredit</f>
        <v>1.4552196191684643E+44</v>
      </c>
      <c r="D1791" s="4">
        <f>SimRevY1*(1+SimGrowth)^1789</f>
        <v>5.6296805553210884E+78</v>
      </c>
      <c r="E1791" s="4">
        <f>FacDevRevY1*(1+FacDevGrowth)^1789</f>
        <v>2.8148402776605442E+78</v>
      </c>
      <c r="F1791" s="4">
        <f t="shared" si="108"/>
        <v>8.444520832981633E+78</v>
      </c>
      <c r="G1791" s="4">
        <f t="shared" si="109"/>
        <v>8.444520832981633E+78</v>
      </c>
      <c r="H1791" s="4">
        <f>SalaryFTECount*SalaryPerFTE*(1+SalaryGrowth)^1789</f>
        <v>6.2353853785315242E+35</v>
      </c>
      <c r="I1791" s="4">
        <f>SimOpsY1*(1+SimOpsGrowth)^1789</f>
        <v>1.8716292375196801E+64</v>
      </c>
      <c r="J1791" s="4">
        <f>TrainDevY1*(1+TrainDevGrowth)^1789</f>
        <v>9.3581461875984003E+63</v>
      </c>
      <c r="K1791" s="4">
        <f>AdminY1*(1+AdminGrowth)^1789</f>
        <v>3.7430269523109672E+49</v>
      </c>
      <c r="L1791" s="4">
        <f t="shared" si="110"/>
        <v>2.8074438562795234E+64</v>
      </c>
      <c r="M1791" s="4">
        <f t="shared" si="111"/>
        <v>8.444520832981605E+78</v>
      </c>
    </row>
    <row r="1792" spans="1:13" x14ac:dyDescent="0.2">
      <c r="A1792" s="3">
        <f>StartYear+1790</f>
        <v>3815</v>
      </c>
      <c r="B1792" s="4">
        <f>FacultyFTE*HoursPerWeek*WeeksPerYear*RatePerHour*(1+PracticeGrowth)^1790</f>
        <v>2.4447689602030187E+43</v>
      </c>
      <c r="C1792" s="4">
        <f>StudentsY1*(1+StudentGrowth)^1790*CreditsPerStudent*TuitionPerCredit</f>
        <v>1.5279806001268868E+44</v>
      </c>
      <c r="D1792" s="4">
        <f>SimRevY1*(1+SimGrowth)^1790</f>
        <v>6.1926486108531989E+78</v>
      </c>
      <c r="E1792" s="4">
        <f>FacDevRevY1*(1+FacDevGrowth)^1790</f>
        <v>3.0963243054265995E+78</v>
      </c>
      <c r="F1792" s="4">
        <f t="shared" si="108"/>
        <v>9.2889729162797976E+78</v>
      </c>
      <c r="G1792" s="4">
        <f t="shared" si="109"/>
        <v>9.2889729162797976E+78</v>
      </c>
      <c r="H1792" s="4">
        <f>SalaryFTECount*SalaryPerFTE*(1+SalaryGrowth)^1790</f>
        <v>6.4848007936727842E+35</v>
      </c>
      <c r="I1792" s="4">
        <f>SimOpsY1*(1+SimOpsGrowth)^1790</f>
        <v>2.0213595765212548E+64</v>
      </c>
      <c r="J1792" s="4">
        <f>TrainDevY1*(1+TrainDevGrowth)^1790</f>
        <v>1.0106797882606274E+64</v>
      </c>
      <c r="K1792" s="4">
        <f>AdminY1*(1+AdminGrowth)^1790</f>
        <v>3.9676085694496246E+49</v>
      </c>
      <c r="L1792" s="4">
        <f t="shared" si="110"/>
        <v>3.0320393647818861E+64</v>
      </c>
      <c r="M1792" s="4">
        <f t="shared" si="111"/>
        <v>9.288972916279768E+78</v>
      </c>
    </row>
    <row r="1793" spans="1:13" x14ac:dyDescent="0.2">
      <c r="A1793" s="3">
        <f>StartYear+1791</f>
        <v>3816</v>
      </c>
      <c r="B1793" s="4">
        <f>FacultyFTE*HoursPerWeek*WeeksPerYear*RatePerHour*(1+PracticeGrowth)^1791</f>
        <v>2.5670074082131706E+43</v>
      </c>
      <c r="C1793" s="4">
        <f>StudentsY1*(1+StudentGrowth)^1791*CreditsPerStudent*TuitionPerCredit</f>
        <v>1.6043796301332317E+44</v>
      </c>
      <c r="D1793" s="4">
        <f>SimRevY1*(1+SimGrowth)^1791</f>
        <v>6.8119134719385182E+78</v>
      </c>
      <c r="E1793" s="4">
        <f>FacDevRevY1*(1+FacDevGrowth)^1791</f>
        <v>3.4059567359692591E+78</v>
      </c>
      <c r="F1793" s="4">
        <f t="shared" si="108"/>
        <v>1.0217870207907778E+79</v>
      </c>
      <c r="G1793" s="4">
        <f t="shared" si="109"/>
        <v>1.0217870207907778E+79</v>
      </c>
      <c r="H1793" s="4">
        <f>SalaryFTECount*SalaryPerFTE*(1+SalaryGrowth)^1791</f>
        <v>6.7441928254196964E+35</v>
      </c>
      <c r="I1793" s="4">
        <f>SimOpsY1*(1+SimOpsGrowth)^1791</f>
        <v>2.1830683426429559E+64</v>
      </c>
      <c r="J1793" s="4">
        <f>TrainDevY1*(1+TrainDevGrowth)^1791</f>
        <v>1.0915341713214779E+64</v>
      </c>
      <c r="K1793" s="4">
        <f>AdminY1*(1+AdminGrowth)^1791</f>
        <v>4.2056650836166031E+49</v>
      </c>
      <c r="L1793" s="4">
        <f t="shared" si="110"/>
        <v>3.2746025139644379E+64</v>
      </c>
      <c r="M1793" s="4">
        <f t="shared" si="111"/>
        <v>1.0217870207907745E+79</v>
      </c>
    </row>
    <row r="1794" spans="1:13" x14ac:dyDescent="0.2">
      <c r="A1794" s="3">
        <f>StartYear+1792</f>
        <v>3817</v>
      </c>
      <c r="B1794" s="4">
        <f>FacultyFTE*HoursPerWeek*WeeksPerYear*RatePerHour*(1+PracticeGrowth)^1792</f>
        <v>2.6953577786238292E+43</v>
      </c>
      <c r="C1794" s="4">
        <f>StudentsY1*(1+StudentGrowth)^1792*CreditsPerStudent*TuitionPerCredit</f>
        <v>1.6845986116398935E+44</v>
      </c>
      <c r="D1794" s="4">
        <f>SimRevY1*(1+SimGrowth)^1792</f>
        <v>7.4931048191323697E+78</v>
      </c>
      <c r="E1794" s="4">
        <f>FacDevRevY1*(1+FacDevGrowth)^1792</f>
        <v>3.7465524095661849E+78</v>
      </c>
      <c r="F1794" s="4">
        <f t="shared" ref="F1794:F1857" si="112">C1794+D1794+E1794</f>
        <v>1.1239657228698555E+79</v>
      </c>
      <c r="G1794" s="4">
        <f t="shared" ref="G1794:G1857" si="113">B1794+F1794</f>
        <v>1.1239657228698555E+79</v>
      </c>
      <c r="H1794" s="4">
        <f>SalaryFTECount*SalaryPerFTE*(1+SalaryGrowth)^1792</f>
        <v>7.0139605384364862E+35</v>
      </c>
      <c r="I1794" s="4">
        <f>SimOpsY1*(1+SimOpsGrowth)^1792</f>
        <v>2.3577138100543923E+64</v>
      </c>
      <c r="J1794" s="4">
        <f>TrainDevY1*(1+TrainDevGrowth)^1792</f>
        <v>1.1788569050271961E+64</v>
      </c>
      <c r="K1794" s="4">
        <f>AdminY1*(1+AdminGrowth)^1792</f>
        <v>4.4580049886335978E+49</v>
      </c>
      <c r="L1794" s="4">
        <f t="shared" ref="L1794:L1857" si="114">SUM(H1794:K1794)</f>
        <v>3.5365707150815931E+64</v>
      </c>
      <c r="M1794" s="4">
        <f t="shared" ref="M1794:M1857" si="115">G1794-L1794</f>
        <v>1.1239657228698521E+79</v>
      </c>
    </row>
    <row r="1795" spans="1:13" x14ac:dyDescent="0.2">
      <c r="A1795" s="3">
        <f>StartYear+1793</f>
        <v>3818</v>
      </c>
      <c r="B1795" s="4">
        <f>FacultyFTE*HoursPerWeek*WeeksPerYear*RatePerHour*(1+PracticeGrowth)^1793</f>
        <v>2.830125667555021E+43</v>
      </c>
      <c r="C1795" s="4">
        <f>StudentsY1*(1+StudentGrowth)^1793*CreditsPerStudent*TuitionPerCredit</f>
        <v>1.7688285422218882E+44</v>
      </c>
      <c r="D1795" s="4">
        <f>SimRevY1*(1+SimGrowth)^1793</f>
        <v>8.2424153010456065E+78</v>
      </c>
      <c r="E1795" s="4">
        <f>FacDevRevY1*(1+FacDevGrowth)^1793</f>
        <v>4.1212076505228033E+78</v>
      </c>
      <c r="F1795" s="4">
        <f t="shared" si="112"/>
        <v>1.2363622951568411E+79</v>
      </c>
      <c r="G1795" s="4">
        <f t="shared" si="113"/>
        <v>1.2363622951568411E+79</v>
      </c>
      <c r="H1795" s="4">
        <f>SalaryFTECount*SalaryPerFTE*(1+SalaryGrowth)^1793</f>
        <v>7.2945189599739443E+35</v>
      </c>
      <c r="I1795" s="4">
        <f>SimOpsY1*(1+SimOpsGrowth)^1793</f>
        <v>2.5463309148587435E+64</v>
      </c>
      <c r="J1795" s="4">
        <f>TrainDevY1*(1+TrainDevGrowth)^1793</f>
        <v>1.2731654574293718E+64</v>
      </c>
      <c r="K1795" s="4">
        <f>AdminY1*(1+AdminGrowth)^1793</f>
        <v>4.7254852879516144E+49</v>
      </c>
      <c r="L1795" s="4">
        <f t="shared" si="114"/>
        <v>3.81949637228812E+64</v>
      </c>
      <c r="M1795" s="4">
        <f t="shared" si="115"/>
        <v>1.2363622951568373E+79</v>
      </c>
    </row>
    <row r="1796" spans="1:13" x14ac:dyDescent="0.2">
      <c r="A1796" s="3">
        <f>StartYear+1794</f>
        <v>3819</v>
      </c>
      <c r="B1796" s="4">
        <f>FacultyFTE*HoursPerWeek*WeeksPerYear*RatePerHour*(1+PracticeGrowth)^1794</f>
        <v>2.9716319509327719E+43</v>
      </c>
      <c r="C1796" s="4">
        <f>StudentsY1*(1+StudentGrowth)^1794*CreditsPerStudent*TuitionPerCredit</f>
        <v>1.8572699693329826E+44</v>
      </c>
      <c r="D1796" s="4">
        <f>SimRevY1*(1+SimGrowth)^1794</f>
        <v>9.066656831150168E+78</v>
      </c>
      <c r="E1796" s="4">
        <f>FacDevRevY1*(1+FacDevGrowth)^1794</f>
        <v>4.533328415575084E+78</v>
      </c>
      <c r="F1796" s="4">
        <f t="shared" si="112"/>
        <v>1.3599985246725252E+79</v>
      </c>
      <c r="G1796" s="4">
        <f t="shared" si="113"/>
        <v>1.3599985246725252E+79</v>
      </c>
      <c r="H1796" s="4">
        <f>SalaryFTECount*SalaryPerFTE*(1+SalaryGrowth)^1794</f>
        <v>7.5862997183729031E+35</v>
      </c>
      <c r="I1796" s="4">
        <f>SimOpsY1*(1+SimOpsGrowth)^1794</f>
        <v>2.7500373880474432E+64</v>
      </c>
      <c r="J1796" s="4">
        <f>TrainDevY1*(1+TrainDevGrowth)^1794</f>
        <v>1.3750186940237216E+64</v>
      </c>
      <c r="K1796" s="4">
        <f>AdminY1*(1+AdminGrowth)^1794</f>
        <v>5.0090144052287107E+49</v>
      </c>
      <c r="L1796" s="4">
        <f t="shared" si="114"/>
        <v>4.1250560820711698E+64</v>
      </c>
      <c r="M1796" s="4">
        <f t="shared" si="115"/>
        <v>1.3599985246725211E+79</v>
      </c>
    </row>
    <row r="1797" spans="1:13" x14ac:dyDescent="0.2">
      <c r="A1797" s="3">
        <f>StartYear+1795</f>
        <v>3820</v>
      </c>
      <c r="B1797" s="4">
        <f>FacultyFTE*HoursPerWeek*WeeksPerYear*RatePerHour*(1+PracticeGrowth)^1795</f>
        <v>3.1202135484794105E+43</v>
      </c>
      <c r="C1797" s="4">
        <f>StudentsY1*(1+StudentGrowth)^1795*CreditsPerStudent*TuitionPerCredit</f>
        <v>1.9501334677996314E+44</v>
      </c>
      <c r="D1797" s="4">
        <f>SimRevY1*(1+SimGrowth)^1795</f>
        <v>9.9733225142651855E+78</v>
      </c>
      <c r="E1797" s="4">
        <f>FacDevRevY1*(1+FacDevGrowth)^1795</f>
        <v>4.9866612571325927E+78</v>
      </c>
      <c r="F1797" s="4">
        <f t="shared" si="112"/>
        <v>1.4959983771397779E+79</v>
      </c>
      <c r="G1797" s="4">
        <f t="shared" si="113"/>
        <v>1.4959983771397779E+79</v>
      </c>
      <c r="H1797" s="4">
        <f>SalaryFTECount*SalaryPerFTE*(1+SalaryGrowth)^1795</f>
        <v>7.8897517071078195E+35</v>
      </c>
      <c r="I1797" s="4">
        <f>SimOpsY1*(1+SimOpsGrowth)^1795</f>
        <v>2.9700403790912387E+64</v>
      </c>
      <c r="J1797" s="4">
        <f>TrainDevY1*(1+TrainDevGrowth)^1795</f>
        <v>1.4850201895456193E+64</v>
      </c>
      <c r="K1797" s="4">
        <f>AdminY1*(1+AdminGrowth)^1795</f>
        <v>5.3095552695424345E+49</v>
      </c>
      <c r="L1797" s="4">
        <f t="shared" si="114"/>
        <v>4.4550605686368633E+64</v>
      </c>
      <c r="M1797" s="4">
        <f t="shared" si="115"/>
        <v>1.4959983771397733E+79</v>
      </c>
    </row>
    <row r="1798" spans="1:13" x14ac:dyDescent="0.2">
      <c r="A1798" s="3">
        <f>StartYear+1796</f>
        <v>3821</v>
      </c>
      <c r="B1798" s="4">
        <f>FacultyFTE*HoursPerWeek*WeeksPerYear*RatePerHour*(1+PracticeGrowth)^1796</f>
        <v>3.2762242259033807E+43</v>
      </c>
      <c r="C1798" s="4">
        <f>StudentsY1*(1+StudentGrowth)^1796*CreditsPerStudent*TuitionPerCredit</f>
        <v>2.0476401411896133E+44</v>
      </c>
      <c r="D1798" s="4">
        <f>SimRevY1*(1+SimGrowth)^1796</f>
        <v>1.0970654765691706E+79</v>
      </c>
      <c r="E1798" s="4">
        <f>FacDevRevY1*(1+FacDevGrowth)^1796</f>
        <v>5.4853273828458531E+78</v>
      </c>
      <c r="F1798" s="4">
        <f t="shared" si="112"/>
        <v>1.6455982148537559E+79</v>
      </c>
      <c r="G1798" s="4">
        <f t="shared" si="113"/>
        <v>1.6455982148537559E+79</v>
      </c>
      <c r="H1798" s="4">
        <f>SalaryFTECount*SalaryPerFTE*(1+SalaryGrowth)^1796</f>
        <v>8.205341775392134E+35</v>
      </c>
      <c r="I1798" s="4">
        <f>SimOpsY1*(1+SimOpsGrowth)^1796</f>
        <v>3.2076436094185383E+64</v>
      </c>
      <c r="J1798" s="4">
        <f>TrainDevY1*(1+TrainDevGrowth)^1796</f>
        <v>1.6038218047092691E+64</v>
      </c>
      <c r="K1798" s="4">
        <f>AdminY1*(1+AdminGrowth)^1796</f>
        <v>5.6281285857149801E+49</v>
      </c>
      <c r="L1798" s="4">
        <f t="shared" si="114"/>
        <v>4.8114654141278129E+64</v>
      </c>
      <c r="M1798" s="4">
        <f t="shared" si="115"/>
        <v>1.645598214853751E+79</v>
      </c>
    </row>
    <row r="1799" spans="1:13" x14ac:dyDescent="0.2">
      <c r="A1799" s="3">
        <f>StartYear+1797</f>
        <v>3822</v>
      </c>
      <c r="B1799" s="4">
        <f>FacultyFTE*HoursPerWeek*WeeksPerYear*RatePerHour*(1+PracticeGrowth)^1797</f>
        <v>3.4400354371985502E+43</v>
      </c>
      <c r="C1799" s="4">
        <f>StudentsY1*(1+StudentGrowth)^1797*CreditsPerStudent*TuitionPerCredit</f>
        <v>2.1500221482490939E+44</v>
      </c>
      <c r="D1799" s="4">
        <f>SimRevY1*(1+SimGrowth)^1797</f>
        <v>1.2067720242260874E+79</v>
      </c>
      <c r="E1799" s="4">
        <f>FacDevRevY1*(1+FacDevGrowth)^1797</f>
        <v>6.0338601211304372E+78</v>
      </c>
      <c r="F1799" s="4">
        <f t="shared" si="112"/>
        <v>1.8101580363391311E+79</v>
      </c>
      <c r="G1799" s="4">
        <f t="shared" si="113"/>
        <v>1.8101580363391311E+79</v>
      </c>
      <c r="H1799" s="4">
        <f>SalaryFTECount*SalaryPerFTE*(1+SalaryGrowth)^1797</f>
        <v>8.5335554464078201E+35</v>
      </c>
      <c r="I1799" s="4">
        <f>SimOpsY1*(1+SimOpsGrowth)^1797</f>
        <v>3.4642550981720212E+64</v>
      </c>
      <c r="J1799" s="4">
        <f>TrainDevY1*(1+TrainDevGrowth)^1797</f>
        <v>1.7321275490860106E+64</v>
      </c>
      <c r="K1799" s="4">
        <f>AdminY1*(1+AdminGrowth)^1797</f>
        <v>5.9658163008578811E+49</v>
      </c>
      <c r="L1799" s="4">
        <f t="shared" si="114"/>
        <v>5.1963826472580377E+64</v>
      </c>
      <c r="M1799" s="4">
        <f t="shared" si="115"/>
        <v>1.8101580363391258E+79</v>
      </c>
    </row>
    <row r="1800" spans="1:13" x14ac:dyDescent="0.2">
      <c r="A1800" s="3">
        <f>StartYear+1798</f>
        <v>3823</v>
      </c>
      <c r="B1800" s="4">
        <f>FacultyFTE*HoursPerWeek*WeeksPerYear*RatePerHour*(1+PracticeGrowth)^1798</f>
        <v>3.612037209058477E+43</v>
      </c>
      <c r="C1800" s="4">
        <f>StudentsY1*(1+StudentGrowth)^1798*CreditsPerStudent*TuitionPerCredit</f>
        <v>2.2575232556615483E+44</v>
      </c>
      <c r="D1800" s="4">
        <f>SimRevY1*(1+SimGrowth)^1798</f>
        <v>1.3274492266486967E+79</v>
      </c>
      <c r="E1800" s="4">
        <f>FacDevRevY1*(1+FacDevGrowth)^1798</f>
        <v>6.6372461332434835E+78</v>
      </c>
      <c r="F1800" s="4">
        <f t="shared" si="112"/>
        <v>1.9911738399730452E+79</v>
      </c>
      <c r="G1800" s="4">
        <f t="shared" si="113"/>
        <v>1.9911738399730452E+79</v>
      </c>
      <c r="H1800" s="4">
        <f>SalaryFTECount*SalaryPerFTE*(1+SalaryGrowth)^1798</f>
        <v>8.8748976642641334E+35</v>
      </c>
      <c r="I1800" s="4">
        <f>SimOpsY1*(1+SimOpsGrowth)^1798</f>
        <v>3.7413955060257835E+64</v>
      </c>
      <c r="J1800" s="4">
        <f>TrainDevY1*(1+TrainDevGrowth)^1798</f>
        <v>1.8706977530128918E+64</v>
      </c>
      <c r="K1800" s="4">
        <f>AdminY1*(1+AdminGrowth)^1798</f>
        <v>6.3237652789093534E+49</v>
      </c>
      <c r="L1800" s="4">
        <f t="shared" si="114"/>
        <v>5.6120932590386805E+64</v>
      </c>
      <c r="M1800" s="4">
        <f t="shared" si="115"/>
        <v>1.9911738399730396E+79</v>
      </c>
    </row>
    <row r="1801" spans="1:13" x14ac:dyDescent="0.2">
      <c r="A1801" s="3">
        <f>StartYear+1799</f>
        <v>3824</v>
      </c>
      <c r="B1801" s="4">
        <f>FacultyFTE*HoursPerWeek*WeeksPerYear*RatePerHour*(1+PracticeGrowth)^1799</f>
        <v>3.7926390695114017E+43</v>
      </c>
      <c r="C1801" s="4">
        <f>StudentsY1*(1+StudentGrowth)^1799*CreditsPerStudent*TuitionPerCredit</f>
        <v>2.3703994184446263E+44</v>
      </c>
      <c r="D1801" s="4">
        <f>SimRevY1*(1+SimGrowth)^1799</f>
        <v>1.4601941493135664E+79</v>
      </c>
      <c r="E1801" s="4">
        <f>FacDevRevY1*(1+FacDevGrowth)^1799</f>
        <v>7.300970746567832E+78</v>
      </c>
      <c r="F1801" s="4">
        <f t="shared" si="112"/>
        <v>2.1902912239703496E+79</v>
      </c>
      <c r="G1801" s="4">
        <f t="shared" si="113"/>
        <v>2.1902912239703496E+79</v>
      </c>
      <c r="H1801" s="4">
        <f>SalaryFTECount*SalaryPerFTE*(1+SalaryGrowth)^1799</f>
        <v>9.2298935708346965E+35</v>
      </c>
      <c r="I1801" s="4">
        <f>SimOpsY1*(1+SimOpsGrowth)^1799</f>
        <v>4.0407071465078466E+64</v>
      </c>
      <c r="J1801" s="4">
        <f>TrainDevY1*(1+TrainDevGrowth)^1799</f>
        <v>2.0203535732539233E+64</v>
      </c>
      <c r="K1801" s="4">
        <f>AdminY1*(1+AdminGrowth)^1799</f>
        <v>6.7031911956439159E+49</v>
      </c>
      <c r="L1801" s="4">
        <f t="shared" si="114"/>
        <v>6.0610607197617772E+64</v>
      </c>
      <c r="M1801" s="4">
        <f t="shared" si="115"/>
        <v>2.1902912239703437E+79</v>
      </c>
    </row>
    <row r="1802" spans="1:13" x14ac:dyDescent="0.2">
      <c r="A1802" s="3">
        <f>StartYear+1800</f>
        <v>3825</v>
      </c>
      <c r="B1802" s="4">
        <f>FacultyFTE*HoursPerWeek*WeeksPerYear*RatePerHour*(1+PracticeGrowth)^1800</f>
        <v>3.9822710229869715E+43</v>
      </c>
      <c r="C1802" s="4">
        <f>StudentsY1*(1+StudentGrowth)^1800*CreditsPerStudent*TuitionPerCredit</f>
        <v>2.4889193893668575E+44</v>
      </c>
      <c r="D1802" s="4">
        <f>SimRevY1*(1+SimGrowth)^1800</f>
        <v>1.606213564244923E+79</v>
      </c>
      <c r="E1802" s="4">
        <f>FacDevRevY1*(1+FacDevGrowth)^1800</f>
        <v>8.0310678212246149E+78</v>
      </c>
      <c r="F1802" s="4">
        <f t="shared" si="112"/>
        <v>2.4093203463673845E+79</v>
      </c>
      <c r="G1802" s="4">
        <f t="shared" si="113"/>
        <v>2.4093203463673845E+79</v>
      </c>
      <c r="H1802" s="4">
        <f>SalaryFTECount*SalaryPerFTE*(1+SalaryGrowth)^1800</f>
        <v>9.599089313668087E+35</v>
      </c>
      <c r="I1802" s="4">
        <f>SimOpsY1*(1+SimOpsGrowth)^1800</f>
        <v>4.363963718228474E+64</v>
      </c>
      <c r="J1802" s="4">
        <f>TrainDevY1*(1+TrainDevGrowth)^1800</f>
        <v>2.181981859114237E+64</v>
      </c>
      <c r="K1802" s="4">
        <f>AdminY1*(1+AdminGrowth)^1800</f>
        <v>7.1053826673825489E+49</v>
      </c>
      <c r="L1802" s="4">
        <f t="shared" si="114"/>
        <v>6.545945577342718E+64</v>
      </c>
      <c r="M1802" s="4">
        <f t="shared" si="115"/>
        <v>2.4093203463673779E+79</v>
      </c>
    </row>
    <row r="1803" spans="1:13" x14ac:dyDescent="0.2">
      <c r="A1803" s="3">
        <f>StartYear+1801</f>
        <v>3826</v>
      </c>
      <c r="B1803" s="4">
        <f>FacultyFTE*HoursPerWeek*WeeksPerYear*RatePerHour*(1+PracticeGrowth)^1801</f>
        <v>4.1813845741363205E+43</v>
      </c>
      <c r="C1803" s="4">
        <f>StudentsY1*(1+StudentGrowth)^1801*CreditsPerStudent*TuitionPerCredit</f>
        <v>2.6133653588352001E+44</v>
      </c>
      <c r="D1803" s="4">
        <f>SimRevY1*(1+SimGrowth)^1801</f>
        <v>1.7668349206694152E+79</v>
      </c>
      <c r="E1803" s="4">
        <f>FacDevRevY1*(1+FacDevGrowth)^1801</f>
        <v>8.8341746033470761E+78</v>
      </c>
      <c r="F1803" s="4">
        <f t="shared" si="112"/>
        <v>2.6502523810041227E+79</v>
      </c>
      <c r="G1803" s="4">
        <f t="shared" si="113"/>
        <v>2.6502523810041227E+79</v>
      </c>
      <c r="H1803" s="4">
        <f>SalaryFTECount*SalaryPerFTE*(1+SalaryGrowth)^1801</f>
        <v>9.9830528862148116E+35</v>
      </c>
      <c r="I1803" s="4">
        <f>SimOpsY1*(1+SimOpsGrowth)^1801</f>
        <v>4.7130808156867526E+64</v>
      </c>
      <c r="J1803" s="4">
        <f>TrainDevY1*(1+TrainDevGrowth)^1801</f>
        <v>2.3565404078433763E+64</v>
      </c>
      <c r="K1803" s="4">
        <f>AdminY1*(1+AdminGrowth)^1801</f>
        <v>7.5317056274255039E+49</v>
      </c>
      <c r="L1803" s="4">
        <f t="shared" si="114"/>
        <v>7.0696212235301356E+64</v>
      </c>
      <c r="M1803" s="4">
        <f t="shared" si="115"/>
        <v>2.6502523810041157E+79</v>
      </c>
    </row>
    <row r="1804" spans="1:13" x14ac:dyDescent="0.2">
      <c r="A1804" s="3">
        <f>StartYear+1802</f>
        <v>3827</v>
      </c>
      <c r="B1804" s="4">
        <f>FacultyFTE*HoursPerWeek*WeeksPerYear*RatePerHour*(1+PracticeGrowth)^1802</f>
        <v>4.3904538028431364E+43</v>
      </c>
      <c r="C1804" s="4">
        <f>StudentsY1*(1+StudentGrowth)^1802*CreditsPerStudent*TuitionPerCredit</f>
        <v>2.7440336267769604E+44</v>
      </c>
      <c r="D1804" s="4">
        <f>SimRevY1*(1+SimGrowth)^1802</f>
        <v>1.9435184127363573E+79</v>
      </c>
      <c r="E1804" s="4">
        <f>FacDevRevY1*(1+FacDevGrowth)^1802</f>
        <v>9.7175920636817865E+78</v>
      </c>
      <c r="F1804" s="4">
        <f t="shared" si="112"/>
        <v>2.9152776191045358E+79</v>
      </c>
      <c r="G1804" s="4">
        <f t="shared" si="113"/>
        <v>2.9152776191045358E+79</v>
      </c>
      <c r="H1804" s="4">
        <f>SalaryFTECount*SalaryPerFTE*(1+SalaryGrowth)^1802</f>
        <v>1.0382375001663405E+36</v>
      </c>
      <c r="I1804" s="4">
        <f>SimOpsY1*(1+SimOpsGrowth)^1802</f>
        <v>5.0901272809416929E+64</v>
      </c>
      <c r="J1804" s="4">
        <f>TrainDevY1*(1+TrainDevGrowth)^1802</f>
        <v>2.5450636404708465E+64</v>
      </c>
      <c r="K1804" s="4">
        <f>AdminY1*(1+AdminGrowth)^1802</f>
        <v>7.9836079650710342E+49</v>
      </c>
      <c r="L1804" s="4">
        <f t="shared" si="114"/>
        <v>7.6351909214125476E+64</v>
      </c>
      <c r="M1804" s="4">
        <f t="shared" si="115"/>
        <v>2.9152776191045282E+79</v>
      </c>
    </row>
    <row r="1805" spans="1:13" x14ac:dyDescent="0.2">
      <c r="A1805" s="3">
        <f>StartYear+1803</f>
        <v>3828</v>
      </c>
      <c r="B1805" s="4">
        <f>FacultyFTE*HoursPerWeek*WeeksPerYear*RatePerHour*(1+PracticeGrowth)^1803</f>
        <v>4.6099764929852936E+43</v>
      </c>
      <c r="C1805" s="4">
        <f>StudentsY1*(1+StudentGrowth)^1803*CreditsPerStudent*TuitionPerCredit</f>
        <v>2.8812353081158084E+44</v>
      </c>
      <c r="D1805" s="4">
        <f>SimRevY1*(1+SimGrowth)^1803</f>
        <v>2.1378702540099933E+79</v>
      </c>
      <c r="E1805" s="4">
        <f>FacDevRevY1*(1+FacDevGrowth)^1803</f>
        <v>1.0689351270049966E+79</v>
      </c>
      <c r="F1805" s="4">
        <f t="shared" si="112"/>
        <v>3.2068053810149899E+79</v>
      </c>
      <c r="G1805" s="4">
        <f t="shared" si="113"/>
        <v>3.2068053810149899E+79</v>
      </c>
      <c r="H1805" s="4">
        <f>SalaryFTECount*SalaryPerFTE*(1+SalaryGrowth)^1803</f>
        <v>1.0797670001729939E+36</v>
      </c>
      <c r="I1805" s="4">
        <f>SimOpsY1*(1+SimOpsGrowth)^1803</f>
        <v>5.4973374634170277E+64</v>
      </c>
      <c r="J1805" s="4">
        <f>TrainDevY1*(1+TrainDevGrowth)^1803</f>
        <v>2.7486687317085138E+64</v>
      </c>
      <c r="K1805" s="4">
        <f>AdminY1*(1+AdminGrowth)^1803</f>
        <v>8.4626244429752978E+49</v>
      </c>
      <c r="L1805" s="4">
        <f t="shared" si="114"/>
        <v>8.2460061951255503E+64</v>
      </c>
      <c r="M1805" s="4">
        <f t="shared" si="115"/>
        <v>3.2068053810149813E+79</v>
      </c>
    </row>
    <row r="1806" spans="1:13" x14ac:dyDescent="0.2">
      <c r="A1806" s="3">
        <f>StartYear+1804</f>
        <v>3829</v>
      </c>
      <c r="B1806" s="4">
        <f>FacultyFTE*HoursPerWeek*WeeksPerYear*RatePerHour*(1+PracticeGrowth)^1804</f>
        <v>4.8404753176345576E+43</v>
      </c>
      <c r="C1806" s="4">
        <f>StudentsY1*(1+StudentGrowth)^1804*CreditsPerStudent*TuitionPerCredit</f>
        <v>3.0252970735215987E+44</v>
      </c>
      <c r="D1806" s="4">
        <f>SimRevY1*(1+SimGrowth)^1804</f>
        <v>2.3516572794109925E+79</v>
      </c>
      <c r="E1806" s="4">
        <f>FacDevRevY1*(1+FacDevGrowth)^1804</f>
        <v>1.1758286397054963E+79</v>
      </c>
      <c r="F1806" s="4">
        <f t="shared" si="112"/>
        <v>3.5274859191164886E+79</v>
      </c>
      <c r="G1806" s="4">
        <f t="shared" si="113"/>
        <v>3.5274859191164886E+79</v>
      </c>
      <c r="H1806" s="4">
        <f>SalaryFTECount*SalaryPerFTE*(1+SalaryGrowth)^1804</f>
        <v>1.1229576801799136E+36</v>
      </c>
      <c r="I1806" s="4">
        <f>SimOpsY1*(1+SimOpsGrowth)^1804</f>
        <v>5.9371244604903902E+64</v>
      </c>
      <c r="J1806" s="4">
        <f>TrainDevY1*(1+TrainDevGrowth)^1804</f>
        <v>2.9685622302451951E+64</v>
      </c>
      <c r="K1806" s="4">
        <f>AdminY1*(1+AdminGrowth)^1804</f>
        <v>8.9703819095538153E+49</v>
      </c>
      <c r="L1806" s="4">
        <f t="shared" si="114"/>
        <v>8.9056866907355947E+64</v>
      </c>
      <c r="M1806" s="4">
        <f t="shared" si="115"/>
        <v>3.5274859191164794E+79</v>
      </c>
    </row>
    <row r="1807" spans="1:13" x14ac:dyDescent="0.2">
      <c r="A1807" s="3">
        <f>StartYear+1805</f>
        <v>3830</v>
      </c>
      <c r="B1807" s="4">
        <f>FacultyFTE*HoursPerWeek*WeeksPerYear*RatePerHour*(1+PracticeGrowth)^1805</f>
        <v>5.0824990835162861E+43</v>
      </c>
      <c r="C1807" s="4">
        <f>StudentsY1*(1+StudentGrowth)^1805*CreditsPerStudent*TuitionPerCredit</f>
        <v>3.1765619271976789E+44</v>
      </c>
      <c r="D1807" s="4">
        <f>SimRevY1*(1+SimGrowth)^1805</f>
        <v>2.5868230073520917E+79</v>
      </c>
      <c r="E1807" s="4">
        <f>FacDevRevY1*(1+FacDevGrowth)^1805</f>
        <v>1.2934115036760458E+79</v>
      </c>
      <c r="F1807" s="4">
        <f t="shared" si="112"/>
        <v>3.8802345110281373E+79</v>
      </c>
      <c r="G1807" s="4">
        <f t="shared" si="113"/>
        <v>3.8802345110281373E+79</v>
      </c>
      <c r="H1807" s="4">
        <f>SalaryFTECount*SalaryPerFTE*(1+SalaryGrowth)^1805</f>
        <v>1.1678759873871103E+36</v>
      </c>
      <c r="I1807" s="4">
        <f>SimOpsY1*(1+SimOpsGrowth)^1805</f>
        <v>6.4120944173296222E+64</v>
      </c>
      <c r="J1807" s="4">
        <f>TrainDevY1*(1+TrainDevGrowth)^1805</f>
        <v>3.2060472086648111E+64</v>
      </c>
      <c r="K1807" s="4">
        <f>AdminY1*(1+AdminGrowth)^1805</f>
        <v>9.5086048241270438E+49</v>
      </c>
      <c r="L1807" s="4">
        <f t="shared" si="114"/>
        <v>9.6181416259944426E+64</v>
      </c>
      <c r="M1807" s="4">
        <f t="shared" si="115"/>
        <v>3.8802345110281275E+79</v>
      </c>
    </row>
    <row r="1808" spans="1:13" x14ac:dyDescent="0.2">
      <c r="A1808" s="3">
        <f>StartYear+1806</f>
        <v>3831</v>
      </c>
      <c r="B1808" s="4">
        <f>FacultyFTE*HoursPerWeek*WeeksPerYear*RatePerHour*(1+PracticeGrowth)^1806</f>
        <v>5.3366240376920987E+43</v>
      </c>
      <c r="C1808" s="4">
        <f>StudentsY1*(1+StudentGrowth)^1806*CreditsPerStudent*TuitionPerCredit</f>
        <v>3.3353900235575621E+44</v>
      </c>
      <c r="D1808" s="4">
        <f>SimRevY1*(1+SimGrowth)^1806</f>
        <v>2.8455053080873017E+79</v>
      </c>
      <c r="E1808" s="4">
        <f>FacDevRevY1*(1+FacDevGrowth)^1806</f>
        <v>1.4227526540436509E+79</v>
      </c>
      <c r="F1808" s="4">
        <f t="shared" si="112"/>
        <v>4.2682579621309529E+79</v>
      </c>
      <c r="G1808" s="4">
        <f t="shared" si="113"/>
        <v>4.2682579621309529E+79</v>
      </c>
      <c r="H1808" s="4">
        <f>SalaryFTECount*SalaryPerFTE*(1+SalaryGrowth)^1806</f>
        <v>1.2145910268825951E+36</v>
      </c>
      <c r="I1808" s="4">
        <f>SimOpsY1*(1+SimOpsGrowth)^1806</f>
        <v>6.9250619707159925E+64</v>
      </c>
      <c r="J1808" s="4">
        <f>TrainDevY1*(1+TrainDevGrowth)^1806</f>
        <v>3.4625309853579963E+64</v>
      </c>
      <c r="K1808" s="4">
        <f>AdminY1*(1+AdminGrowth)^1806</f>
        <v>1.0079121113574668E+50</v>
      </c>
      <c r="L1808" s="4">
        <f t="shared" si="114"/>
        <v>1.0387592956073999E+65</v>
      </c>
      <c r="M1808" s="4">
        <f t="shared" si="115"/>
        <v>4.2682579621309424E+79</v>
      </c>
    </row>
    <row r="1809" spans="1:13" x14ac:dyDescent="0.2">
      <c r="A1809" s="3">
        <f>StartYear+1807</f>
        <v>3832</v>
      </c>
      <c r="B1809" s="4">
        <f>FacultyFTE*HoursPerWeek*WeeksPerYear*RatePerHour*(1+PracticeGrowth)^1807</f>
        <v>5.6034552395767056E+43</v>
      </c>
      <c r="C1809" s="4">
        <f>StudentsY1*(1+StudentGrowth)^1807*CreditsPerStudent*TuitionPerCredit</f>
        <v>3.5021595247354406E+44</v>
      </c>
      <c r="D1809" s="4">
        <f>SimRevY1*(1+SimGrowth)^1807</f>
        <v>3.1300558388960317E+79</v>
      </c>
      <c r="E1809" s="4">
        <f>FacDevRevY1*(1+FacDevGrowth)^1807</f>
        <v>1.5650279194480158E+79</v>
      </c>
      <c r="F1809" s="4">
        <f t="shared" si="112"/>
        <v>4.6950837583440475E+79</v>
      </c>
      <c r="G1809" s="4">
        <f t="shared" si="113"/>
        <v>4.6950837583440475E+79</v>
      </c>
      <c r="H1809" s="4">
        <f>SalaryFTECount*SalaryPerFTE*(1+SalaryGrowth)^1807</f>
        <v>1.2631746679578985E+36</v>
      </c>
      <c r="I1809" s="4">
        <f>SimOpsY1*(1+SimOpsGrowth)^1807</f>
        <v>7.4790669283732728E+64</v>
      </c>
      <c r="J1809" s="4">
        <f>TrainDevY1*(1+TrainDevGrowth)^1807</f>
        <v>3.7395334641866364E+64</v>
      </c>
      <c r="K1809" s="4">
        <f>AdminY1*(1+AdminGrowth)^1807</f>
        <v>1.068386838038915E+50</v>
      </c>
      <c r="L1809" s="4">
        <f t="shared" si="114"/>
        <v>1.121860039255992E+65</v>
      </c>
      <c r="M1809" s="4">
        <f t="shared" si="115"/>
        <v>4.6950837583440364E+79</v>
      </c>
    </row>
    <row r="1810" spans="1:13" x14ac:dyDescent="0.2">
      <c r="A1810" s="3">
        <f>StartYear+1808</f>
        <v>3833</v>
      </c>
      <c r="B1810" s="4">
        <f>FacultyFTE*HoursPerWeek*WeeksPerYear*RatePerHour*(1+PracticeGrowth)^1808</f>
        <v>5.8836280015555412E+43</v>
      </c>
      <c r="C1810" s="4">
        <f>StudentsY1*(1+StudentGrowth)^1808*CreditsPerStudent*TuitionPerCredit</f>
        <v>3.6772675009722133E+44</v>
      </c>
      <c r="D1810" s="4">
        <f>SimRevY1*(1+SimGrowth)^1808</f>
        <v>3.4430614227856345E+79</v>
      </c>
      <c r="E1810" s="4">
        <f>FacDevRevY1*(1+FacDevGrowth)^1808</f>
        <v>1.7215307113928172E+79</v>
      </c>
      <c r="F1810" s="4">
        <f t="shared" si="112"/>
        <v>5.1645921341784517E+79</v>
      </c>
      <c r="G1810" s="4">
        <f t="shared" si="113"/>
        <v>5.1645921341784517E+79</v>
      </c>
      <c r="H1810" s="4">
        <f>SalaryFTECount*SalaryPerFTE*(1+SalaryGrowth)^1808</f>
        <v>1.3137016546762147E+36</v>
      </c>
      <c r="I1810" s="4">
        <f>SimOpsY1*(1+SimOpsGrowth)^1808</f>
        <v>8.0773922826431344E+64</v>
      </c>
      <c r="J1810" s="4">
        <f>TrainDevY1*(1+TrainDevGrowth)^1808</f>
        <v>4.0386961413215672E+64</v>
      </c>
      <c r="K1810" s="4">
        <f>AdminY1*(1+AdminGrowth)^1808</f>
        <v>1.1324900483212497E+50</v>
      </c>
      <c r="L1810" s="4">
        <f t="shared" si="114"/>
        <v>1.2116088423964714E+65</v>
      </c>
      <c r="M1810" s="4">
        <f t="shared" si="115"/>
        <v>5.1645921341784399E+79</v>
      </c>
    </row>
    <row r="1811" spans="1:13" x14ac:dyDescent="0.2">
      <c r="A1811" s="3">
        <f>StartYear+1809</f>
        <v>3834</v>
      </c>
      <c r="B1811" s="4">
        <f>FacultyFTE*HoursPerWeek*WeeksPerYear*RatePerHour*(1+PracticeGrowth)^1809</f>
        <v>6.1778094016333182E+43</v>
      </c>
      <c r="C1811" s="4">
        <f>StudentsY1*(1+StudentGrowth)^1809*CreditsPerStudent*TuitionPerCredit</f>
        <v>3.8611308760208241E+44</v>
      </c>
      <c r="D1811" s="4">
        <f>SimRevY1*(1+SimGrowth)^1809</f>
        <v>3.7873675650641981E+79</v>
      </c>
      <c r="E1811" s="4">
        <f>FacDevRevY1*(1+FacDevGrowth)^1809</f>
        <v>1.893683782532099E+79</v>
      </c>
      <c r="F1811" s="4">
        <f t="shared" si="112"/>
        <v>5.6810513475962971E+79</v>
      </c>
      <c r="G1811" s="4">
        <f t="shared" si="113"/>
        <v>5.6810513475962971E+79</v>
      </c>
      <c r="H1811" s="4">
        <f>SalaryFTECount*SalaryPerFTE*(1+SalaryGrowth)^1809</f>
        <v>1.3662497208632632E+36</v>
      </c>
      <c r="I1811" s="4">
        <f>SimOpsY1*(1+SimOpsGrowth)^1809</f>
        <v>8.723583665254585E+64</v>
      </c>
      <c r="J1811" s="4">
        <f>TrainDevY1*(1+TrainDevGrowth)^1809</f>
        <v>4.3617918326272925E+64</v>
      </c>
      <c r="K1811" s="4">
        <f>AdminY1*(1+AdminGrowth)^1809</f>
        <v>1.2004394512205248E+50</v>
      </c>
      <c r="L1811" s="4">
        <f t="shared" si="114"/>
        <v>1.3085375497881889E+65</v>
      </c>
      <c r="M1811" s="4">
        <f t="shared" si="115"/>
        <v>5.6810513475962839E+79</v>
      </c>
    </row>
    <row r="1812" spans="1:13" x14ac:dyDescent="0.2">
      <c r="A1812" s="3">
        <f>StartYear+1810</f>
        <v>3835</v>
      </c>
      <c r="B1812" s="4">
        <f>FacultyFTE*HoursPerWeek*WeeksPerYear*RatePerHour*(1+PracticeGrowth)^1810</f>
        <v>6.4866998717149846E+43</v>
      </c>
      <c r="C1812" s="4">
        <f>StudentsY1*(1+StudentGrowth)^1810*CreditsPerStudent*TuitionPerCredit</f>
        <v>4.0541874198218655E+44</v>
      </c>
      <c r="D1812" s="4">
        <f>SimRevY1*(1+SimGrowth)^1810</f>
        <v>4.1661043215706186E+79</v>
      </c>
      <c r="E1812" s="4">
        <f>FacDevRevY1*(1+FacDevGrowth)^1810</f>
        <v>2.0830521607853093E+79</v>
      </c>
      <c r="F1812" s="4">
        <f t="shared" si="112"/>
        <v>6.249156482355928E+79</v>
      </c>
      <c r="G1812" s="4">
        <f t="shared" si="113"/>
        <v>6.249156482355928E+79</v>
      </c>
      <c r="H1812" s="4">
        <f>SalaryFTECount*SalaryPerFTE*(1+SalaryGrowth)^1810</f>
        <v>1.420899709697794E+36</v>
      </c>
      <c r="I1812" s="4">
        <f>SimOpsY1*(1+SimOpsGrowth)^1810</f>
        <v>9.4214703584749528E+64</v>
      </c>
      <c r="J1812" s="4">
        <f>TrainDevY1*(1+TrainDevGrowth)^1810</f>
        <v>4.7107351792374764E+64</v>
      </c>
      <c r="K1812" s="4">
        <f>AdminY1*(1+AdminGrowth)^1810</f>
        <v>1.2724658182937564E+50</v>
      </c>
      <c r="L1812" s="4">
        <f t="shared" si="114"/>
        <v>1.413220553771244E+65</v>
      </c>
      <c r="M1812" s="4">
        <f t="shared" si="115"/>
        <v>6.2491564823559135E+79</v>
      </c>
    </row>
    <row r="1813" spans="1:13" x14ac:dyDescent="0.2">
      <c r="A1813" s="3">
        <f>StartYear+1811</f>
        <v>3836</v>
      </c>
      <c r="B1813" s="4">
        <f>FacultyFTE*HoursPerWeek*WeeksPerYear*RatePerHour*(1+PracticeGrowth)^1811</f>
        <v>6.8110348653007342E+43</v>
      </c>
      <c r="C1813" s="4">
        <f>StudentsY1*(1+StudentGrowth)^1811*CreditsPerStudent*TuitionPerCredit</f>
        <v>4.2568967908129586E+44</v>
      </c>
      <c r="D1813" s="4">
        <f>SimRevY1*(1+SimGrowth)^1811</f>
        <v>4.5827147537276821E+79</v>
      </c>
      <c r="E1813" s="4">
        <f>FacDevRevY1*(1+FacDevGrowth)^1811</f>
        <v>2.291357376863841E+79</v>
      </c>
      <c r="F1813" s="4">
        <f t="shared" si="112"/>
        <v>6.8740721305915225E+79</v>
      </c>
      <c r="G1813" s="4">
        <f t="shared" si="113"/>
        <v>6.8740721305915225E+79</v>
      </c>
      <c r="H1813" s="4">
        <f>SalaryFTECount*SalaryPerFTE*(1+SalaryGrowth)^1811</f>
        <v>1.477735698085706E+36</v>
      </c>
      <c r="I1813" s="4">
        <f>SimOpsY1*(1+SimOpsGrowth)^1811</f>
        <v>1.017518798715295E+65</v>
      </c>
      <c r="J1813" s="4">
        <f>TrainDevY1*(1+TrainDevGrowth)^1811</f>
        <v>5.0875939935764751E+64</v>
      </c>
      <c r="K1813" s="4">
        <f>AdminY1*(1+AdminGrowth)^1811</f>
        <v>1.3488137673913816E+50</v>
      </c>
      <c r="L1813" s="4">
        <f t="shared" si="114"/>
        <v>1.5262781980729439E+65</v>
      </c>
      <c r="M1813" s="4">
        <f t="shared" si="115"/>
        <v>6.8740721305915067E+79</v>
      </c>
    </row>
    <row r="1814" spans="1:13" x14ac:dyDescent="0.2">
      <c r="A1814" s="3">
        <f>StartYear+1812</f>
        <v>3837</v>
      </c>
      <c r="B1814" s="4">
        <f>FacultyFTE*HoursPerWeek*WeeksPerYear*RatePerHour*(1+PracticeGrowth)^1812</f>
        <v>7.1515866085657703E+43</v>
      </c>
      <c r="C1814" s="4">
        <f>StudentsY1*(1+StudentGrowth)^1812*CreditsPerStudent*TuitionPerCredit</f>
        <v>4.4697416303536061E+44</v>
      </c>
      <c r="D1814" s="4">
        <f>SimRevY1*(1+SimGrowth)^1812</f>
        <v>5.0409862291004502E+79</v>
      </c>
      <c r="E1814" s="4">
        <f>FacDevRevY1*(1+FacDevGrowth)^1812</f>
        <v>2.5204931145502251E+79</v>
      </c>
      <c r="F1814" s="4">
        <f t="shared" si="112"/>
        <v>7.5614793436506753E+79</v>
      </c>
      <c r="G1814" s="4">
        <f t="shared" si="113"/>
        <v>7.5614793436506753E+79</v>
      </c>
      <c r="H1814" s="4">
        <f>SalaryFTECount*SalaryPerFTE*(1+SalaryGrowth)^1812</f>
        <v>1.5368451260091342E+36</v>
      </c>
      <c r="I1814" s="4">
        <f>SimOpsY1*(1+SimOpsGrowth)^1812</f>
        <v>1.0989203026125184E+65</v>
      </c>
      <c r="J1814" s="4">
        <f>TrainDevY1*(1+TrainDevGrowth)^1812</f>
        <v>5.494601513062592E+64</v>
      </c>
      <c r="K1814" s="4">
        <f>AdminY1*(1+AdminGrowth)^1812</f>
        <v>1.4297425934348646E+50</v>
      </c>
      <c r="L1814" s="4">
        <f t="shared" si="114"/>
        <v>1.6483804539187791E+65</v>
      </c>
      <c r="M1814" s="4">
        <f t="shared" si="115"/>
        <v>7.5614793436506581E+79</v>
      </c>
    </row>
    <row r="1815" spans="1:13" x14ac:dyDescent="0.2">
      <c r="A1815" s="3">
        <f>StartYear+1813</f>
        <v>3838</v>
      </c>
      <c r="B1815" s="4">
        <f>FacultyFTE*HoursPerWeek*WeeksPerYear*RatePerHour*(1+PracticeGrowth)^1813</f>
        <v>7.5091659389940586E+43</v>
      </c>
      <c r="C1815" s="4">
        <f>StudentsY1*(1+StudentGrowth)^1813*CreditsPerStudent*TuitionPerCredit</f>
        <v>4.6932287118712873E+44</v>
      </c>
      <c r="D1815" s="4">
        <f>SimRevY1*(1+SimGrowth)^1813</f>
        <v>5.5450848520104953E+79</v>
      </c>
      <c r="E1815" s="4">
        <f>FacDevRevY1*(1+FacDevGrowth)^1813</f>
        <v>2.7725424260052477E+79</v>
      </c>
      <c r="F1815" s="4">
        <f t="shared" si="112"/>
        <v>8.3176272780157433E+79</v>
      </c>
      <c r="G1815" s="4">
        <f t="shared" si="113"/>
        <v>8.3176272780157433E+79</v>
      </c>
      <c r="H1815" s="4">
        <f>SalaryFTECount*SalaryPerFTE*(1+SalaryGrowth)^1813</f>
        <v>1.5983189310494999E+36</v>
      </c>
      <c r="I1815" s="4">
        <f>SimOpsY1*(1+SimOpsGrowth)^1813</f>
        <v>1.1868339268215202E+65</v>
      </c>
      <c r="J1815" s="4">
        <f>TrainDevY1*(1+TrainDevGrowth)^1813</f>
        <v>5.9341696341076009E+64</v>
      </c>
      <c r="K1815" s="4">
        <f>AdminY1*(1+AdminGrowth)^1813</f>
        <v>1.5155271490409568E+50</v>
      </c>
      <c r="L1815" s="4">
        <f t="shared" si="114"/>
        <v>1.7802508902322817E+65</v>
      </c>
      <c r="M1815" s="4">
        <f t="shared" si="115"/>
        <v>8.3176272780157249E+79</v>
      </c>
    </row>
    <row r="1816" spans="1:13" x14ac:dyDescent="0.2">
      <c r="A1816" s="3">
        <f>StartYear+1814</f>
        <v>3839</v>
      </c>
      <c r="B1816" s="4">
        <f>FacultyFTE*HoursPerWeek*WeeksPerYear*RatePerHour*(1+PracticeGrowth)^1814</f>
        <v>7.8846242359437605E+43</v>
      </c>
      <c r="C1816" s="4">
        <f>StudentsY1*(1+StudentGrowth)^1814*CreditsPerStudent*TuitionPerCredit</f>
        <v>4.9278901474648499E+44</v>
      </c>
      <c r="D1816" s="4">
        <f>SimRevY1*(1+SimGrowth)^1814</f>
        <v>6.0995933372115444E+79</v>
      </c>
      <c r="E1816" s="4">
        <f>FacDevRevY1*(1+FacDevGrowth)^1814</f>
        <v>3.0497966686057722E+79</v>
      </c>
      <c r="F1816" s="4">
        <f t="shared" si="112"/>
        <v>9.1493900058173172E+79</v>
      </c>
      <c r="G1816" s="4">
        <f t="shared" si="113"/>
        <v>9.1493900058173172E+79</v>
      </c>
      <c r="H1816" s="4">
        <f>SalaryFTECount*SalaryPerFTE*(1+SalaryGrowth)^1814</f>
        <v>1.6622516882914796E+36</v>
      </c>
      <c r="I1816" s="4">
        <f>SimOpsY1*(1+SimOpsGrowth)^1814</f>
        <v>1.2817806409672418E+65</v>
      </c>
      <c r="J1816" s="4">
        <f>TrainDevY1*(1+TrainDevGrowth)^1814</f>
        <v>6.408903204836209E+64</v>
      </c>
      <c r="K1816" s="4">
        <f>AdminY1*(1+AdminGrowth)^1814</f>
        <v>1.6064587779834145E+50</v>
      </c>
      <c r="L1816" s="4">
        <f t="shared" si="114"/>
        <v>1.9226709614508643E+65</v>
      </c>
      <c r="M1816" s="4">
        <f t="shared" si="115"/>
        <v>9.1493900058172975E+79</v>
      </c>
    </row>
    <row r="1817" spans="1:13" x14ac:dyDescent="0.2">
      <c r="A1817" s="3">
        <f>StartYear+1815</f>
        <v>3840</v>
      </c>
      <c r="B1817" s="4">
        <f>FacultyFTE*HoursPerWeek*WeeksPerYear*RatePerHour*(1+PracticeGrowth)^1815</f>
        <v>8.2788554477409506E+43</v>
      </c>
      <c r="C1817" s="4">
        <f>StudentsY1*(1+StudentGrowth)^1815*CreditsPerStudent*TuitionPerCredit</f>
        <v>5.1742846548380947E+44</v>
      </c>
      <c r="D1817" s="4">
        <f>SimRevY1*(1+SimGrowth)^1815</f>
        <v>6.7095526709327008E+79</v>
      </c>
      <c r="E1817" s="4">
        <f>FacDevRevY1*(1+FacDevGrowth)^1815</f>
        <v>3.3547763354663504E+79</v>
      </c>
      <c r="F1817" s="4">
        <f t="shared" si="112"/>
        <v>1.0064329006399052E+80</v>
      </c>
      <c r="G1817" s="4">
        <f t="shared" si="113"/>
        <v>1.0064329006399052E+80</v>
      </c>
      <c r="H1817" s="4">
        <f>SalaryFTECount*SalaryPerFTE*(1+SalaryGrowth)^1815</f>
        <v>1.7287417558231388E+36</v>
      </c>
      <c r="I1817" s="4">
        <f>SimOpsY1*(1+SimOpsGrowth)^1815</f>
        <v>1.3843230922446212E+65</v>
      </c>
      <c r="J1817" s="4">
        <f>TrainDevY1*(1+TrainDevGrowth)^1815</f>
        <v>6.9216154612231062E+64</v>
      </c>
      <c r="K1817" s="4">
        <f>AdminY1*(1+AdminGrowth)^1815</f>
        <v>1.7028463046624195E+50</v>
      </c>
      <c r="L1817" s="4">
        <f t="shared" si="114"/>
        <v>2.0764846383669334E+65</v>
      </c>
      <c r="M1817" s="4">
        <f t="shared" si="115"/>
        <v>1.0064329006399031E+80</v>
      </c>
    </row>
    <row r="1818" spans="1:13" x14ac:dyDescent="0.2">
      <c r="A1818" s="3">
        <f>StartYear+1816</f>
        <v>3841</v>
      </c>
      <c r="B1818" s="4">
        <f>FacultyFTE*HoursPerWeek*WeeksPerYear*RatePerHour*(1+PracticeGrowth)^1816</f>
        <v>8.6927982201279979E+43</v>
      </c>
      <c r="C1818" s="4">
        <f>StudentsY1*(1+StudentGrowth)^1816*CreditsPerStudent*TuitionPerCredit</f>
        <v>5.4329988875799982E+44</v>
      </c>
      <c r="D1818" s="4">
        <f>SimRevY1*(1+SimGrowth)^1816</f>
        <v>7.3805079380259689E+79</v>
      </c>
      <c r="E1818" s="4">
        <f>FacDevRevY1*(1+FacDevGrowth)^1816</f>
        <v>3.6902539690129845E+79</v>
      </c>
      <c r="F1818" s="4">
        <f t="shared" si="112"/>
        <v>1.1070761907038953E+80</v>
      </c>
      <c r="G1818" s="4">
        <f t="shared" si="113"/>
        <v>1.1070761907038953E+80</v>
      </c>
      <c r="H1818" s="4">
        <f>SalaryFTECount*SalaryPerFTE*(1+SalaryGrowth)^1816</f>
        <v>1.7978914260560644E+36</v>
      </c>
      <c r="I1818" s="4">
        <f>SimOpsY1*(1+SimOpsGrowth)^1816</f>
        <v>1.4950689396241909E+65</v>
      </c>
      <c r="J1818" s="4">
        <f>TrainDevY1*(1+TrainDevGrowth)^1816</f>
        <v>7.4753446981209544E+64</v>
      </c>
      <c r="K1818" s="4">
        <f>AdminY1*(1+AdminGrowth)^1816</f>
        <v>1.8050170829421645E+50</v>
      </c>
      <c r="L1818" s="4">
        <f t="shared" si="114"/>
        <v>2.2426034094362881E+65</v>
      </c>
      <c r="M1818" s="4">
        <f t="shared" si="115"/>
        <v>1.1070761907038931E+80</v>
      </c>
    </row>
    <row r="1819" spans="1:13" x14ac:dyDescent="0.2">
      <c r="A1819" s="3">
        <f>StartYear+1817</f>
        <v>3842</v>
      </c>
      <c r="B1819" s="4">
        <f>FacultyFTE*HoursPerWeek*WeeksPerYear*RatePerHour*(1+PracticeGrowth)^1817</f>
        <v>9.1274381311343973E+43</v>
      </c>
      <c r="C1819" s="4">
        <f>StudentsY1*(1+StudentGrowth)^1817*CreditsPerStudent*TuitionPerCredit</f>
        <v>5.7046488319589976E+44</v>
      </c>
      <c r="D1819" s="4">
        <f>SimRevY1*(1+SimGrowth)^1817</f>
        <v>8.1185587318285679E+79</v>
      </c>
      <c r="E1819" s="4">
        <f>FacDevRevY1*(1+FacDevGrowth)^1817</f>
        <v>4.059279365914284E+79</v>
      </c>
      <c r="F1819" s="4">
        <f t="shared" si="112"/>
        <v>1.2177838097742853E+80</v>
      </c>
      <c r="G1819" s="4">
        <f t="shared" si="113"/>
        <v>1.2177838097742853E+80</v>
      </c>
      <c r="H1819" s="4">
        <f>SalaryFTECount*SalaryPerFTE*(1+SalaryGrowth)^1817</f>
        <v>1.8698070830983074E+36</v>
      </c>
      <c r="I1819" s="4">
        <f>SimOpsY1*(1+SimOpsGrowth)^1817</f>
        <v>1.6146744547941262E+65</v>
      </c>
      <c r="J1819" s="4">
        <f>TrainDevY1*(1+TrainDevGrowth)^1817</f>
        <v>8.0733722739706312E+64</v>
      </c>
      <c r="K1819" s="4">
        <f>AdminY1*(1+AdminGrowth)^1817</f>
        <v>1.913318107918694E+50</v>
      </c>
      <c r="L1819" s="4">
        <f t="shared" si="114"/>
        <v>2.4220116821911911E+65</v>
      </c>
      <c r="M1819" s="4">
        <f t="shared" si="115"/>
        <v>1.2177838097742829E+80</v>
      </c>
    </row>
    <row r="1820" spans="1:13" x14ac:dyDescent="0.2">
      <c r="A1820" s="3">
        <f>StartYear+1818</f>
        <v>3843</v>
      </c>
      <c r="B1820" s="4">
        <f>FacultyFTE*HoursPerWeek*WeeksPerYear*RatePerHour*(1+PracticeGrowth)^1818</f>
        <v>9.5838100376911177E+43</v>
      </c>
      <c r="C1820" s="4">
        <f>StudentsY1*(1+StudentGrowth)^1818*CreditsPerStudent*TuitionPerCredit</f>
        <v>5.9898812735569491E+44</v>
      </c>
      <c r="D1820" s="4">
        <f>SimRevY1*(1+SimGrowth)^1818</f>
        <v>8.9304146050114242E+79</v>
      </c>
      <c r="E1820" s="4">
        <f>FacDevRevY1*(1+FacDevGrowth)^1818</f>
        <v>4.4652073025057121E+79</v>
      </c>
      <c r="F1820" s="4">
        <f t="shared" si="112"/>
        <v>1.3395621907517137E+80</v>
      </c>
      <c r="G1820" s="4">
        <f t="shared" si="113"/>
        <v>1.3395621907517137E+80</v>
      </c>
      <c r="H1820" s="4">
        <f>SalaryFTECount*SalaryPerFTE*(1+SalaryGrowth)^1818</f>
        <v>1.9445993664222396E+36</v>
      </c>
      <c r="I1820" s="4">
        <f>SimOpsY1*(1+SimOpsGrowth)^1818</f>
        <v>1.7438484111776562E+65</v>
      </c>
      <c r="J1820" s="4">
        <f>TrainDevY1*(1+TrainDevGrowth)^1818</f>
        <v>8.7192420558882812E+64</v>
      </c>
      <c r="K1820" s="4">
        <f>AdminY1*(1+AdminGrowth)^1818</f>
        <v>2.0281171943938158E+50</v>
      </c>
      <c r="L1820" s="4">
        <f t="shared" si="114"/>
        <v>2.6157726167664861E+65</v>
      </c>
      <c r="M1820" s="4">
        <f t="shared" si="115"/>
        <v>1.3395621907517111E+80</v>
      </c>
    </row>
    <row r="1821" spans="1:13" x14ac:dyDescent="0.2">
      <c r="A1821" s="3">
        <f>StartYear+1819</f>
        <v>3844</v>
      </c>
      <c r="B1821" s="4">
        <f>FacultyFTE*HoursPerWeek*WeeksPerYear*RatePerHour*(1+PracticeGrowth)^1819</f>
        <v>1.0063000539575673E+44</v>
      </c>
      <c r="C1821" s="4">
        <f>StudentsY1*(1+StudentGrowth)^1819*CreditsPerStudent*TuitionPerCredit</f>
        <v>6.2893753372347959E+44</v>
      </c>
      <c r="D1821" s="4">
        <f>SimRevY1*(1+SimGrowth)^1819</f>
        <v>9.8234560655125683E+79</v>
      </c>
      <c r="E1821" s="4">
        <f>FacDevRevY1*(1+FacDevGrowth)^1819</f>
        <v>4.9117280327562841E+79</v>
      </c>
      <c r="F1821" s="4">
        <f t="shared" si="112"/>
        <v>1.4735184098268852E+80</v>
      </c>
      <c r="G1821" s="4">
        <f t="shared" si="113"/>
        <v>1.4735184098268852E+80</v>
      </c>
      <c r="H1821" s="4">
        <f>SalaryFTECount*SalaryPerFTE*(1+SalaryGrowth)^1819</f>
        <v>2.0223833410791292E+36</v>
      </c>
      <c r="I1821" s="4">
        <f>SimOpsY1*(1+SimOpsGrowth)^1819</f>
        <v>1.8833562840718692E+65</v>
      </c>
      <c r="J1821" s="4">
        <f>TrainDevY1*(1+TrainDevGrowth)^1819</f>
        <v>9.416781420359346E+64</v>
      </c>
      <c r="K1821" s="4">
        <f>AdminY1*(1+AdminGrowth)^1819</f>
        <v>2.1498042260574452E+50</v>
      </c>
      <c r="L1821" s="4">
        <f t="shared" si="114"/>
        <v>2.825034426107806E+65</v>
      </c>
      <c r="M1821" s="4">
        <f t="shared" si="115"/>
        <v>1.4735184098268823E+80</v>
      </c>
    </row>
    <row r="1822" spans="1:13" x14ac:dyDescent="0.2">
      <c r="A1822" s="3">
        <f>StartYear+1820</f>
        <v>3845</v>
      </c>
      <c r="B1822" s="4">
        <f>FacultyFTE*HoursPerWeek*WeeksPerYear*RatePerHour*(1+PracticeGrowth)^1820</f>
        <v>1.0566150566554456E+44</v>
      </c>
      <c r="C1822" s="4">
        <f>StudentsY1*(1+StudentGrowth)^1820*CreditsPerStudent*TuitionPerCredit</f>
        <v>6.6038441040965351E+44</v>
      </c>
      <c r="D1822" s="4">
        <f>SimRevY1*(1+SimGrowth)^1820</f>
        <v>1.0805801672063824E+80</v>
      </c>
      <c r="E1822" s="4">
        <f>FacDevRevY1*(1+FacDevGrowth)^1820</f>
        <v>5.402900836031912E+79</v>
      </c>
      <c r="F1822" s="4">
        <f t="shared" si="112"/>
        <v>1.6208702508095736E+80</v>
      </c>
      <c r="G1822" s="4">
        <f t="shared" si="113"/>
        <v>1.6208702508095736E+80</v>
      </c>
      <c r="H1822" s="4">
        <f>SalaryFTECount*SalaryPerFTE*(1+SalaryGrowth)^1820</f>
        <v>2.1032786747222948E+36</v>
      </c>
      <c r="I1822" s="4">
        <f>SimOpsY1*(1+SimOpsGrowth)^1820</f>
        <v>2.0340247867976185E+65</v>
      </c>
      <c r="J1822" s="4">
        <f>TrainDevY1*(1+TrainDevGrowth)^1820</f>
        <v>1.0170123933988093E+65</v>
      </c>
      <c r="K1822" s="4">
        <f>AdminY1*(1+AdminGrowth)^1820</f>
        <v>2.2787924796208917E+50</v>
      </c>
      <c r="L1822" s="4">
        <f t="shared" si="114"/>
        <v>3.05103718019643E+65</v>
      </c>
      <c r="M1822" s="4">
        <f t="shared" si="115"/>
        <v>1.6208702508095705E+80</v>
      </c>
    </row>
    <row r="1823" spans="1:13" x14ac:dyDescent="0.2">
      <c r="A1823" s="3">
        <f>StartYear+1821</f>
        <v>3846</v>
      </c>
      <c r="B1823" s="4">
        <f>FacultyFTE*HoursPerWeek*WeeksPerYear*RatePerHour*(1+PracticeGrowth)^1821</f>
        <v>1.1094458094882181E+44</v>
      </c>
      <c r="C1823" s="4">
        <f>StudentsY1*(1+StudentGrowth)^1821*CreditsPerStudent*TuitionPerCredit</f>
        <v>6.9340363093013628E+44</v>
      </c>
      <c r="D1823" s="4">
        <f>SimRevY1*(1+SimGrowth)^1821</f>
        <v>1.1886381839270209E+80</v>
      </c>
      <c r="E1823" s="4">
        <f>FacDevRevY1*(1+FacDevGrowth)^1821</f>
        <v>5.9431909196351043E+79</v>
      </c>
      <c r="F1823" s="4">
        <f t="shared" si="112"/>
        <v>1.7829572758905314E+80</v>
      </c>
      <c r="G1823" s="4">
        <f t="shared" si="113"/>
        <v>1.7829572758905314E+80</v>
      </c>
      <c r="H1823" s="4">
        <f>SalaryFTECount*SalaryPerFTE*(1+SalaryGrowth)^1821</f>
        <v>2.1874098217111866E+36</v>
      </c>
      <c r="I1823" s="4">
        <f>SimOpsY1*(1+SimOpsGrowth)^1821</f>
        <v>2.1967467697414284E+65</v>
      </c>
      <c r="J1823" s="4">
        <f>TrainDevY1*(1+TrainDevGrowth)^1821</f>
        <v>1.0983733848707142E+65</v>
      </c>
      <c r="K1823" s="4">
        <f>AdminY1*(1+AdminGrowth)^1821</f>
        <v>2.4155200283981453E+50</v>
      </c>
      <c r="L1823" s="4">
        <f t="shared" si="114"/>
        <v>3.2951201546121452E+65</v>
      </c>
      <c r="M1823" s="4">
        <f t="shared" si="115"/>
        <v>1.782957275890528E+80</v>
      </c>
    </row>
    <row r="1824" spans="1:13" x14ac:dyDescent="0.2">
      <c r="A1824" s="3">
        <f>StartYear+1822</f>
        <v>3847</v>
      </c>
      <c r="B1824" s="4">
        <f>FacultyFTE*HoursPerWeek*WeeksPerYear*RatePerHour*(1+PracticeGrowth)^1822</f>
        <v>1.1649180999626284E+44</v>
      </c>
      <c r="C1824" s="4">
        <f>StudentsY1*(1+StudentGrowth)^1822*CreditsPerStudent*TuitionPerCredit</f>
        <v>7.2807381247664278E+44</v>
      </c>
      <c r="D1824" s="4">
        <f>SimRevY1*(1+SimGrowth)^1822</f>
        <v>1.3075020023197235E+80</v>
      </c>
      <c r="E1824" s="4">
        <f>FacDevRevY1*(1+FacDevGrowth)^1822</f>
        <v>6.5375100115986175E+79</v>
      </c>
      <c r="F1824" s="4">
        <f t="shared" si="112"/>
        <v>1.9612530034795852E+80</v>
      </c>
      <c r="G1824" s="4">
        <f t="shared" si="113"/>
        <v>1.9612530034795852E+80</v>
      </c>
      <c r="H1824" s="4">
        <f>SalaryFTECount*SalaryPerFTE*(1+SalaryGrowth)^1822</f>
        <v>2.2749062145796341E+36</v>
      </c>
      <c r="I1824" s="4">
        <f>SimOpsY1*(1+SimOpsGrowth)^1822</f>
        <v>2.3724865113207424E+65</v>
      </c>
      <c r="J1824" s="4">
        <f>TrainDevY1*(1+TrainDevGrowth)^1822</f>
        <v>1.1862432556603712E+65</v>
      </c>
      <c r="K1824" s="4">
        <f>AdminY1*(1+AdminGrowth)^1822</f>
        <v>2.5604512301020344E+50</v>
      </c>
      <c r="L1824" s="4">
        <f t="shared" si="114"/>
        <v>3.5587297669811157E+65</v>
      </c>
      <c r="M1824" s="4">
        <f t="shared" si="115"/>
        <v>1.9612530034795816E+80</v>
      </c>
    </row>
    <row r="1825" spans="1:13" x14ac:dyDescent="0.2">
      <c r="A1825" s="3">
        <f>StartYear+1823</f>
        <v>3848</v>
      </c>
      <c r="B1825" s="4">
        <f>FacultyFTE*HoursPerWeek*WeeksPerYear*RatePerHour*(1+PracticeGrowth)^1823</f>
        <v>1.2231640049607604E+44</v>
      </c>
      <c r="C1825" s="4">
        <f>StudentsY1*(1+StudentGrowth)^1823*CreditsPerStudent*TuitionPerCredit</f>
        <v>7.6447750310047523E+44</v>
      </c>
      <c r="D1825" s="4">
        <f>SimRevY1*(1+SimGrowth)^1823</f>
        <v>1.4382522025516954E+80</v>
      </c>
      <c r="E1825" s="4">
        <f>FacDevRevY1*(1+FacDevGrowth)^1823</f>
        <v>7.1912610127584769E+79</v>
      </c>
      <c r="F1825" s="4">
        <f t="shared" si="112"/>
        <v>2.1573783038275429E+80</v>
      </c>
      <c r="G1825" s="4">
        <f t="shared" si="113"/>
        <v>2.1573783038275429E+80</v>
      </c>
      <c r="H1825" s="4">
        <f>SalaryFTECount*SalaryPerFTE*(1+SalaryGrowth)^1823</f>
        <v>2.3659024631628192E+36</v>
      </c>
      <c r="I1825" s="4">
        <f>SimOpsY1*(1+SimOpsGrowth)^1823</f>
        <v>2.5622854322264027E+65</v>
      </c>
      <c r="J1825" s="4">
        <f>TrainDevY1*(1+TrainDevGrowth)^1823</f>
        <v>1.2811427161132014E+65</v>
      </c>
      <c r="K1825" s="4">
        <f>AdminY1*(1+AdminGrowth)^1823</f>
        <v>2.7140783039081573E+50</v>
      </c>
      <c r="L1825" s="4">
        <f t="shared" si="114"/>
        <v>3.8434281483396069E+65</v>
      </c>
      <c r="M1825" s="4">
        <f t="shared" si="115"/>
        <v>2.157378303827539E+80</v>
      </c>
    </row>
    <row r="1826" spans="1:13" x14ac:dyDescent="0.2">
      <c r="A1826" s="3">
        <f>StartYear+1824</f>
        <v>3849</v>
      </c>
      <c r="B1826" s="4">
        <f>FacultyFTE*HoursPerWeek*WeeksPerYear*RatePerHour*(1+PracticeGrowth)^1824</f>
        <v>1.2843222052087982E+44</v>
      </c>
      <c r="C1826" s="4">
        <f>StudentsY1*(1+StudentGrowth)^1824*CreditsPerStudent*TuitionPerCredit</f>
        <v>8.0270137825549901E+44</v>
      </c>
      <c r="D1826" s="4">
        <f>SimRevY1*(1+SimGrowth)^1824</f>
        <v>1.5820774228068653E+80</v>
      </c>
      <c r="E1826" s="4">
        <f>FacDevRevY1*(1+FacDevGrowth)^1824</f>
        <v>7.9103871140343263E+79</v>
      </c>
      <c r="F1826" s="4">
        <f t="shared" si="112"/>
        <v>2.3731161342102977E+80</v>
      </c>
      <c r="G1826" s="4">
        <f t="shared" si="113"/>
        <v>2.3731161342102977E+80</v>
      </c>
      <c r="H1826" s="4">
        <f>SalaryFTECount*SalaryPerFTE*(1+SalaryGrowth)^1824</f>
        <v>2.460538561689332E+36</v>
      </c>
      <c r="I1826" s="4">
        <f>SimOpsY1*(1+SimOpsGrowth)^1824</f>
        <v>2.7672682668045146E+65</v>
      </c>
      <c r="J1826" s="4">
        <f>TrainDevY1*(1+TrainDevGrowth)^1824</f>
        <v>1.3836341334022573E+65</v>
      </c>
      <c r="K1826" s="4">
        <f>AdminY1*(1+AdminGrowth)^1824</f>
        <v>2.8769230021426463E+50</v>
      </c>
      <c r="L1826" s="4">
        <f t="shared" si="114"/>
        <v>4.150902400206775E+65</v>
      </c>
      <c r="M1826" s="4">
        <f t="shared" si="115"/>
        <v>2.3731161342102935E+80</v>
      </c>
    </row>
    <row r="1827" spans="1:13" x14ac:dyDescent="0.2">
      <c r="A1827" s="3">
        <f>StartYear+1825</f>
        <v>3850</v>
      </c>
      <c r="B1827" s="4">
        <f>FacultyFTE*HoursPerWeek*WeeksPerYear*RatePerHour*(1+PracticeGrowth)^1825</f>
        <v>1.3485383154692385E+44</v>
      </c>
      <c r="C1827" s="4">
        <f>StudentsY1*(1+StudentGrowth)^1825*CreditsPerStudent*TuitionPerCredit</f>
        <v>8.4283644716827401E+44</v>
      </c>
      <c r="D1827" s="4">
        <f>SimRevY1*(1+SimGrowth)^1825</f>
        <v>1.740285165087552E+80</v>
      </c>
      <c r="E1827" s="4">
        <f>FacDevRevY1*(1+FacDevGrowth)^1825</f>
        <v>8.7014258254377598E+79</v>
      </c>
      <c r="F1827" s="4">
        <f t="shared" si="112"/>
        <v>2.6104277476313282E+80</v>
      </c>
      <c r="G1827" s="4">
        <f t="shared" si="113"/>
        <v>2.6104277476313282E+80</v>
      </c>
      <c r="H1827" s="4">
        <f>SalaryFTECount*SalaryPerFTE*(1+SalaryGrowth)^1825</f>
        <v>2.5589601041569052E+36</v>
      </c>
      <c r="I1827" s="4">
        <f>SimOpsY1*(1+SimOpsGrowth)^1825</f>
        <v>2.988649728148876E+65</v>
      </c>
      <c r="J1827" s="4">
        <f>TrainDevY1*(1+TrainDevGrowth)^1825</f>
        <v>1.494324864074438E+65</v>
      </c>
      <c r="K1827" s="4">
        <f>AdminY1*(1+AdminGrowth)^1825</f>
        <v>3.0495383822712051E+50</v>
      </c>
      <c r="L1827" s="4">
        <f t="shared" si="114"/>
        <v>4.4829745922233169E+65</v>
      </c>
      <c r="M1827" s="4">
        <f t="shared" si="115"/>
        <v>2.6104277476313235E+80</v>
      </c>
    </row>
    <row r="1828" spans="1:13" x14ac:dyDescent="0.2">
      <c r="A1828" s="3">
        <f>StartYear+1826</f>
        <v>3851</v>
      </c>
      <c r="B1828" s="4">
        <f>FacultyFTE*HoursPerWeek*WeeksPerYear*RatePerHour*(1+PracticeGrowth)^1826</f>
        <v>1.4159652312427004E+44</v>
      </c>
      <c r="C1828" s="4">
        <f>StudentsY1*(1+StudentGrowth)^1826*CreditsPerStudent*TuitionPerCredit</f>
        <v>8.8497826952668764E+44</v>
      </c>
      <c r="D1828" s="4">
        <f>SimRevY1*(1+SimGrowth)^1826</f>
        <v>1.9143136815963074E+80</v>
      </c>
      <c r="E1828" s="4">
        <f>FacDevRevY1*(1+FacDevGrowth)^1826</f>
        <v>9.5715684079815371E+79</v>
      </c>
      <c r="F1828" s="4">
        <f t="shared" si="112"/>
        <v>2.8714705223944611E+80</v>
      </c>
      <c r="G1828" s="4">
        <f t="shared" si="113"/>
        <v>2.8714705223944611E+80</v>
      </c>
      <c r="H1828" s="4">
        <f>SalaryFTECount*SalaryPerFTE*(1+SalaryGrowth)^1826</f>
        <v>2.6613185083231819E+36</v>
      </c>
      <c r="I1828" s="4">
        <f>SimOpsY1*(1+SimOpsGrowth)^1826</f>
        <v>3.2277417064007857E+65</v>
      </c>
      <c r="J1828" s="4">
        <f>TrainDevY1*(1+TrainDevGrowth)^1826</f>
        <v>1.6138708532003929E+65</v>
      </c>
      <c r="K1828" s="4">
        <f>AdminY1*(1+AdminGrowth)^1826</f>
        <v>3.2325106852074773E+50</v>
      </c>
      <c r="L1828" s="4">
        <f t="shared" si="114"/>
        <v>4.8416125596011814E+65</v>
      </c>
      <c r="M1828" s="4">
        <f t="shared" si="115"/>
        <v>2.8714705223944564E+80</v>
      </c>
    </row>
    <row r="1829" spans="1:13" x14ac:dyDescent="0.2">
      <c r="A1829" s="3">
        <f>StartYear+1827</f>
        <v>3852</v>
      </c>
      <c r="B1829" s="4">
        <f>FacultyFTE*HoursPerWeek*WeeksPerYear*RatePerHour*(1+PracticeGrowth)^1827</f>
        <v>1.4867634928048355E+44</v>
      </c>
      <c r="C1829" s="4">
        <f>StudentsY1*(1+StudentGrowth)^1827*CreditsPerStudent*TuitionPerCredit</f>
        <v>9.2922718300302218E+44</v>
      </c>
      <c r="D1829" s="4">
        <f>SimRevY1*(1+SimGrowth)^1827</f>
        <v>2.105745049755938E+80</v>
      </c>
      <c r="E1829" s="4">
        <f>FacDevRevY1*(1+FacDevGrowth)^1827</f>
        <v>1.052872524877969E+80</v>
      </c>
      <c r="F1829" s="4">
        <f t="shared" si="112"/>
        <v>3.1586175746339069E+80</v>
      </c>
      <c r="G1829" s="4">
        <f t="shared" si="113"/>
        <v>3.1586175746339069E+80</v>
      </c>
      <c r="H1829" s="4">
        <f>SalaryFTECount*SalaryPerFTE*(1+SalaryGrowth)^1827</f>
        <v>2.7677712486561096E+36</v>
      </c>
      <c r="I1829" s="4">
        <f>SimOpsY1*(1+SimOpsGrowth)^1827</f>
        <v>3.4859610429128494E+65</v>
      </c>
      <c r="J1829" s="4">
        <f>TrainDevY1*(1+TrainDevGrowth)^1827</f>
        <v>1.7429805214564247E+65</v>
      </c>
      <c r="K1829" s="4">
        <f>AdminY1*(1+AdminGrowth)^1827</f>
        <v>3.4264613263199269E+50</v>
      </c>
      <c r="L1829" s="4">
        <f t="shared" si="114"/>
        <v>5.2289415643692779E+65</v>
      </c>
      <c r="M1829" s="4">
        <f t="shared" si="115"/>
        <v>3.1586175746339016E+80</v>
      </c>
    </row>
    <row r="1830" spans="1:13" x14ac:dyDescent="0.2">
      <c r="A1830" s="3">
        <f>StartYear+1828</f>
        <v>3853</v>
      </c>
      <c r="B1830" s="4">
        <f>FacultyFTE*HoursPerWeek*WeeksPerYear*RatePerHour*(1+PracticeGrowth)^1828</f>
        <v>1.5611016674450772E+44</v>
      </c>
      <c r="C1830" s="4">
        <f>StudentsY1*(1+StudentGrowth)^1828*CreditsPerStudent*TuitionPerCredit</f>
        <v>9.7568854215317314E+44</v>
      </c>
      <c r="D1830" s="4">
        <f>SimRevY1*(1+SimGrowth)^1828</f>
        <v>2.3163195547315324E+80</v>
      </c>
      <c r="E1830" s="4">
        <f>FacDevRevY1*(1+FacDevGrowth)^1828</f>
        <v>1.1581597773657662E+80</v>
      </c>
      <c r="F1830" s="4">
        <f t="shared" si="112"/>
        <v>3.4744793320972984E+80</v>
      </c>
      <c r="G1830" s="4">
        <f t="shared" si="113"/>
        <v>3.4744793320972984E+80</v>
      </c>
      <c r="H1830" s="4">
        <f>SalaryFTECount*SalaryPerFTE*(1+SalaryGrowth)^1828</f>
        <v>2.878482098602354E+36</v>
      </c>
      <c r="I1830" s="4">
        <f>SimOpsY1*(1+SimOpsGrowth)^1828</f>
        <v>3.764837926345878E+65</v>
      </c>
      <c r="J1830" s="4">
        <f>TrainDevY1*(1+TrainDevGrowth)^1828</f>
        <v>1.882418963172939E+65</v>
      </c>
      <c r="K1830" s="4">
        <f>AdminY1*(1+AdminGrowth)^1828</f>
        <v>3.6320490058991224E+50</v>
      </c>
      <c r="L1830" s="4">
        <f t="shared" si="114"/>
        <v>5.6472568895188206E+65</v>
      </c>
      <c r="M1830" s="4">
        <f t="shared" si="115"/>
        <v>3.4744793320972926E+80</v>
      </c>
    </row>
    <row r="1831" spans="1:13" x14ac:dyDescent="0.2">
      <c r="A1831" s="3">
        <f>StartYear+1829</f>
        <v>3854</v>
      </c>
      <c r="B1831" s="4">
        <f>FacultyFTE*HoursPerWeek*WeeksPerYear*RatePerHour*(1+PracticeGrowth)^1829</f>
        <v>1.6391567508173312E+44</v>
      </c>
      <c r="C1831" s="4">
        <f>StudentsY1*(1+StudentGrowth)^1829*CreditsPerStudent*TuitionPerCredit</f>
        <v>1.024472969260832E+45</v>
      </c>
      <c r="D1831" s="4">
        <f>SimRevY1*(1+SimGrowth)^1829</f>
        <v>2.5479515102046855E+80</v>
      </c>
      <c r="E1831" s="4">
        <f>FacDevRevY1*(1+FacDevGrowth)^1829</f>
        <v>1.2739757551023427E+80</v>
      </c>
      <c r="F1831" s="4">
        <f t="shared" si="112"/>
        <v>3.8219272653070282E+80</v>
      </c>
      <c r="G1831" s="4">
        <f t="shared" si="113"/>
        <v>3.8219272653070282E+80</v>
      </c>
      <c r="H1831" s="4">
        <f>SalaryFTECount*SalaryPerFTE*(1+SalaryGrowth)^1829</f>
        <v>2.9936213825464484E+36</v>
      </c>
      <c r="I1831" s="4">
        <f>SimOpsY1*(1+SimOpsGrowth)^1829</f>
        <v>4.0660249604535476E+65</v>
      </c>
      <c r="J1831" s="4">
        <f>TrainDevY1*(1+TrainDevGrowth)^1829</f>
        <v>2.0330124802267738E+65</v>
      </c>
      <c r="K1831" s="4">
        <f>AdminY1*(1+AdminGrowth)^1829</f>
        <v>3.8499719462530702E+50</v>
      </c>
      <c r="L1831" s="4">
        <f t="shared" si="114"/>
        <v>6.0990374406803247E+65</v>
      </c>
      <c r="M1831" s="4">
        <f t="shared" si="115"/>
        <v>3.8219272653070219E+80</v>
      </c>
    </row>
    <row r="1832" spans="1:13" x14ac:dyDescent="0.2">
      <c r="A1832" s="3">
        <f>StartYear+1830</f>
        <v>3855</v>
      </c>
      <c r="B1832" s="4">
        <f>FacultyFTE*HoursPerWeek*WeeksPerYear*RatePerHour*(1+PracticeGrowth)^1830</f>
        <v>1.7211145883581972E+44</v>
      </c>
      <c r="C1832" s="4">
        <f>StudentsY1*(1+StudentGrowth)^1830*CreditsPerStudent*TuitionPerCredit</f>
        <v>1.0756966177238733E+45</v>
      </c>
      <c r="D1832" s="4">
        <f>SimRevY1*(1+SimGrowth)^1830</f>
        <v>2.8027466612251542E+80</v>
      </c>
      <c r="E1832" s="4">
        <f>FacDevRevY1*(1+FacDevGrowth)^1830</f>
        <v>1.4013733306125771E+80</v>
      </c>
      <c r="F1832" s="4">
        <f t="shared" si="112"/>
        <v>4.2041199918377313E+80</v>
      </c>
      <c r="G1832" s="4">
        <f t="shared" si="113"/>
        <v>4.2041199918377313E+80</v>
      </c>
      <c r="H1832" s="4">
        <f>SalaryFTECount*SalaryPerFTE*(1+SalaryGrowth)^1830</f>
        <v>3.1133662378483064E+36</v>
      </c>
      <c r="I1832" s="4">
        <f>SimOpsY1*(1+SimOpsGrowth)^1830</f>
        <v>4.3913069572898322E+65</v>
      </c>
      <c r="J1832" s="4">
        <f>TrainDevY1*(1+TrainDevGrowth)^1830</f>
        <v>2.1956534786449161E+65</v>
      </c>
      <c r="K1832" s="4">
        <f>AdminY1*(1+AdminGrowth)^1830</f>
        <v>4.0809702630282554E+50</v>
      </c>
      <c r="L1832" s="4">
        <f t="shared" si="114"/>
        <v>6.586960435934752E+65</v>
      </c>
      <c r="M1832" s="4">
        <f t="shared" si="115"/>
        <v>4.2041199918377245E+80</v>
      </c>
    </row>
    <row r="1833" spans="1:13" x14ac:dyDescent="0.2">
      <c r="A1833" s="3">
        <f>StartYear+1831</f>
        <v>3856</v>
      </c>
      <c r="B1833" s="4">
        <f>FacultyFTE*HoursPerWeek*WeeksPerYear*RatePerHour*(1+PracticeGrowth)^1831</f>
        <v>1.8071703177761075E+44</v>
      </c>
      <c r="C1833" s="4">
        <f>StudentsY1*(1+StudentGrowth)^1831*CreditsPerStudent*TuitionPerCredit</f>
        <v>1.1294814486100669E+45</v>
      </c>
      <c r="D1833" s="4">
        <f>SimRevY1*(1+SimGrowth)^1831</f>
        <v>3.0830213273476703E+80</v>
      </c>
      <c r="E1833" s="4">
        <f>FacDevRevY1*(1+FacDevGrowth)^1831</f>
        <v>1.5415106636738351E+80</v>
      </c>
      <c r="F1833" s="4">
        <f t="shared" si="112"/>
        <v>4.6245319910215054E+80</v>
      </c>
      <c r="G1833" s="4">
        <f t="shared" si="113"/>
        <v>4.6245319910215054E+80</v>
      </c>
      <c r="H1833" s="4">
        <f>SalaryFTECount*SalaryPerFTE*(1+SalaryGrowth)^1831</f>
        <v>3.2379008873622382E+36</v>
      </c>
      <c r="I1833" s="4">
        <f>SimOpsY1*(1+SimOpsGrowth)^1831</f>
        <v>4.7426115138730185E+65</v>
      </c>
      <c r="J1833" s="4">
        <f>TrainDevY1*(1+TrainDevGrowth)^1831</f>
        <v>2.3713057569365093E+65</v>
      </c>
      <c r="K1833" s="4">
        <f>AdminY1*(1+AdminGrowth)^1831</f>
        <v>4.3258284788099508E+50</v>
      </c>
      <c r="L1833" s="4">
        <f t="shared" si="114"/>
        <v>7.113917270809532E+65</v>
      </c>
      <c r="M1833" s="4">
        <f t="shared" si="115"/>
        <v>4.624531991021498E+80</v>
      </c>
    </row>
    <row r="1834" spans="1:13" x14ac:dyDescent="0.2">
      <c r="A1834" s="3">
        <f>StartYear+1832</f>
        <v>3857</v>
      </c>
      <c r="B1834" s="4">
        <f>FacultyFTE*HoursPerWeek*WeeksPerYear*RatePerHour*(1+PracticeGrowth)^1832</f>
        <v>1.8975288336649127E+44</v>
      </c>
      <c r="C1834" s="4">
        <f>StudentsY1*(1+StudentGrowth)^1832*CreditsPerStudent*TuitionPerCredit</f>
        <v>1.1859555210405705E+45</v>
      </c>
      <c r="D1834" s="4">
        <f>SimRevY1*(1+SimGrowth)^1832</f>
        <v>3.3913234600824362E+80</v>
      </c>
      <c r="E1834" s="4">
        <f>FacDevRevY1*(1+FacDevGrowth)^1832</f>
        <v>1.6956617300412181E+80</v>
      </c>
      <c r="F1834" s="4">
        <f t="shared" si="112"/>
        <v>5.0869851901236544E+80</v>
      </c>
      <c r="G1834" s="4">
        <f t="shared" si="113"/>
        <v>5.0869851901236544E+80</v>
      </c>
      <c r="H1834" s="4">
        <f>SalaryFTECount*SalaryPerFTE*(1+SalaryGrowth)^1832</f>
        <v>3.3674169228567289E+36</v>
      </c>
      <c r="I1834" s="4">
        <f>SimOpsY1*(1+SimOpsGrowth)^1832</f>
        <v>5.1220204349828607E+65</v>
      </c>
      <c r="J1834" s="4">
        <f>TrainDevY1*(1+TrainDevGrowth)^1832</f>
        <v>2.5610102174914303E+65</v>
      </c>
      <c r="K1834" s="4">
        <f>AdminY1*(1+AdminGrowth)^1832</f>
        <v>4.5853781875385471E+50</v>
      </c>
      <c r="L1834" s="4">
        <f t="shared" si="114"/>
        <v>7.6830306524742952E+65</v>
      </c>
      <c r="M1834" s="4">
        <f t="shared" si="115"/>
        <v>5.086985190123647E+80</v>
      </c>
    </row>
    <row r="1835" spans="1:13" x14ac:dyDescent="0.2">
      <c r="A1835" s="3">
        <f>StartYear+1833</f>
        <v>3858</v>
      </c>
      <c r="B1835" s="4">
        <f>FacultyFTE*HoursPerWeek*WeeksPerYear*RatePerHour*(1+PracticeGrowth)^1833</f>
        <v>1.9924052753481584E+44</v>
      </c>
      <c r="C1835" s="4">
        <f>StudentsY1*(1+StudentGrowth)^1833*CreditsPerStudent*TuitionPerCredit</f>
        <v>1.2452532970925989E+45</v>
      </c>
      <c r="D1835" s="4">
        <f>SimRevY1*(1+SimGrowth)^1833</f>
        <v>3.7304558060906804E+80</v>
      </c>
      <c r="E1835" s="4">
        <f>FacDevRevY1*(1+FacDevGrowth)^1833</f>
        <v>1.8652279030453402E+80</v>
      </c>
      <c r="F1835" s="4">
        <f t="shared" si="112"/>
        <v>5.5956837091360203E+80</v>
      </c>
      <c r="G1835" s="4">
        <f t="shared" si="113"/>
        <v>5.5956837091360203E+80</v>
      </c>
      <c r="H1835" s="4">
        <f>SalaryFTECount*SalaryPerFTE*(1+SalaryGrowth)^1833</f>
        <v>3.5021135997709978E+36</v>
      </c>
      <c r="I1835" s="4">
        <f>SimOpsY1*(1+SimOpsGrowth)^1833</f>
        <v>5.53178206978149E+65</v>
      </c>
      <c r="J1835" s="4">
        <f>TrainDevY1*(1+TrainDevGrowth)^1833</f>
        <v>2.765891034890745E+65</v>
      </c>
      <c r="K1835" s="4">
        <f>AdminY1*(1+AdminGrowth)^1833</f>
        <v>4.8605008787908592E+50</v>
      </c>
      <c r="L1835" s="4">
        <f t="shared" si="114"/>
        <v>8.2976731046722396E+65</v>
      </c>
      <c r="M1835" s="4">
        <f t="shared" si="115"/>
        <v>5.5956837091360119E+80</v>
      </c>
    </row>
    <row r="1836" spans="1:13" x14ac:dyDescent="0.2">
      <c r="A1836" s="3">
        <f>StartYear+1834</f>
        <v>3859</v>
      </c>
      <c r="B1836" s="4">
        <f>FacultyFTE*HoursPerWeek*WeeksPerYear*RatePerHour*(1+PracticeGrowth)^1834</f>
        <v>2.092025539115566E+44</v>
      </c>
      <c r="C1836" s="4">
        <f>StudentsY1*(1+StudentGrowth)^1834*CreditsPerStudent*TuitionPerCredit</f>
        <v>1.3075159619472289E+45</v>
      </c>
      <c r="D1836" s="4">
        <f>SimRevY1*(1+SimGrowth)^1834</f>
        <v>4.1035013866997491E+80</v>
      </c>
      <c r="E1836" s="4">
        <f>FacDevRevY1*(1+FacDevGrowth)^1834</f>
        <v>2.0517506933498746E+80</v>
      </c>
      <c r="F1836" s="4">
        <f t="shared" si="112"/>
        <v>6.155252080049624E+80</v>
      </c>
      <c r="G1836" s="4">
        <f t="shared" si="113"/>
        <v>6.155252080049624E+80</v>
      </c>
      <c r="H1836" s="4">
        <f>SalaryFTECount*SalaryPerFTE*(1+SalaryGrowth)^1834</f>
        <v>3.6421981437618374E+36</v>
      </c>
      <c r="I1836" s="4">
        <f>SimOpsY1*(1+SimOpsGrowth)^1834</f>
        <v>5.9743246353640088E+65</v>
      </c>
      <c r="J1836" s="4">
        <f>TrainDevY1*(1+TrainDevGrowth)^1834</f>
        <v>2.9871623176820044E+65</v>
      </c>
      <c r="K1836" s="4">
        <f>AdminY1*(1+AdminGrowth)^1834</f>
        <v>5.1521309315183123E+50</v>
      </c>
      <c r="L1836" s="4">
        <f t="shared" si="114"/>
        <v>8.9614869530460184E+65</v>
      </c>
      <c r="M1836" s="4">
        <f t="shared" si="115"/>
        <v>6.1552520800496145E+80</v>
      </c>
    </row>
    <row r="1837" spans="1:13" x14ac:dyDescent="0.2">
      <c r="A1837" s="3">
        <f>StartYear+1835</f>
        <v>3860</v>
      </c>
      <c r="B1837" s="4">
        <f>FacultyFTE*HoursPerWeek*WeeksPerYear*RatePerHour*(1+PracticeGrowth)^1835</f>
        <v>2.1966268160713451E+44</v>
      </c>
      <c r="C1837" s="4">
        <f>StudentsY1*(1+StudentGrowth)^1835*CreditsPerStudent*TuitionPerCredit</f>
        <v>1.3728917600445908E+45</v>
      </c>
      <c r="D1837" s="4">
        <f>SimRevY1*(1+SimGrowth)^1835</f>
        <v>4.5138515253697236E+80</v>
      </c>
      <c r="E1837" s="4">
        <f>FacDevRevY1*(1+FacDevGrowth)^1835</f>
        <v>2.2569257626848618E+80</v>
      </c>
      <c r="F1837" s="4">
        <f t="shared" si="112"/>
        <v>6.7707772880545851E+80</v>
      </c>
      <c r="G1837" s="4">
        <f t="shared" si="113"/>
        <v>6.7707772880545851E+80</v>
      </c>
      <c r="H1837" s="4">
        <f>SalaryFTECount*SalaryPerFTE*(1+SalaryGrowth)^1835</f>
        <v>3.7878860695123112E+36</v>
      </c>
      <c r="I1837" s="4">
        <f>SimOpsY1*(1+SimOpsGrowth)^1835</f>
        <v>6.4522706061931303E+65</v>
      </c>
      <c r="J1837" s="4">
        <f>TrainDevY1*(1+TrainDevGrowth)^1835</f>
        <v>3.2261353030965652E+65</v>
      </c>
      <c r="K1837" s="4">
        <f>AdminY1*(1+AdminGrowth)^1835</f>
        <v>5.4612587874094128E+50</v>
      </c>
      <c r="L1837" s="4">
        <f t="shared" si="114"/>
        <v>9.6784059092897007E+65</v>
      </c>
      <c r="M1837" s="4">
        <f t="shared" si="115"/>
        <v>6.7707772880545756E+80</v>
      </c>
    </row>
    <row r="1838" spans="1:13" x14ac:dyDescent="0.2">
      <c r="A1838" s="3">
        <f>StartYear+1836</f>
        <v>3861</v>
      </c>
      <c r="B1838" s="4">
        <f>FacultyFTE*HoursPerWeek*WeeksPerYear*RatePerHour*(1+PracticeGrowth)^1836</f>
        <v>2.3064581568749122E+44</v>
      </c>
      <c r="C1838" s="4">
        <f>StudentsY1*(1+StudentGrowth)^1836*CreditsPerStudent*TuitionPerCredit</f>
        <v>1.4415363480468201E+45</v>
      </c>
      <c r="D1838" s="4">
        <f>SimRevY1*(1+SimGrowth)^1836</f>
        <v>4.9652366779066973E+80</v>
      </c>
      <c r="E1838" s="4">
        <f>FacDevRevY1*(1+FacDevGrowth)^1836</f>
        <v>2.4826183389533487E+80</v>
      </c>
      <c r="F1838" s="4">
        <f t="shared" si="112"/>
        <v>7.4478550168600465E+80</v>
      </c>
      <c r="G1838" s="4">
        <f t="shared" si="113"/>
        <v>7.4478550168600465E+80</v>
      </c>
      <c r="H1838" s="4">
        <f>SalaryFTECount*SalaryPerFTE*(1+SalaryGrowth)^1836</f>
        <v>3.9394015122928044E+36</v>
      </c>
      <c r="I1838" s="4">
        <f>SimOpsY1*(1+SimOpsGrowth)^1836</f>
        <v>6.9684522546885811E+65</v>
      </c>
      <c r="J1838" s="4">
        <f>TrainDevY1*(1+TrainDevGrowth)^1836</f>
        <v>3.4842261273442905E+65</v>
      </c>
      <c r="K1838" s="4">
        <f>AdminY1*(1+AdminGrowth)^1836</f>
        <v>5.7889343146539766E+50</v>
      </c>
      <c r="L1838" s="4">
        <f t="shared" si="114"/>
        <v>1.0452678382032878E+66</v>
      </c>
      <c r="M1838" s="4">
        <f t="shared" si="115"/>
        <v>7.447855016860036E+80</v>
      </c>
    </row>
    <row r="1839" spans="1:13" x14ac:dyDescent="0.2">
      <c r="A1839" s="3">
        <f>StartYear+1837</f>
        <v>3862</v>
      </c>
      <c r="B1839" s="4">
        <f>FacultyFTE*HoursPerWeek*WeeksPerYear*RatePerHour*(1+PracticeGrowth)^1837</f>
        <v>2.4217810647186579E+44</v>
      </c>
      <c r="C1839" s="4">
        <f>StudentsY1*(1+StudentGrowth)^1837*CreditsPerStudent*TuitionPerCredit</f>
        <v>1.513613165449161E+45</v>
      </c>
      <c r="D1839" s="4">
        <f>SimRevY1*(1+SimGrowth)^1837</f>
        <v>5.4617603456973674E+80</v>
      </c>
      <c r="E1839" s="4">
        <f>FacDevRevY1*(1+FacDevGrowth)^1837</f>
        <v>2.7308801728486837E+80</v>
      </c>
      <c r="F1839" s="4">
        <f t="shared" si="112"/>
        <v>8.1926405185460516E+80</v>
      </c>
      <c r="G1839" s="4">
        <f t="shared" si="113"/>
        <v>8.1926405185460516E+80</v>
      </c>
      <c r="H1839" s="4">
        <f>SalaryFTECount*SalaryPerFTE*(1+SalaryGrowth)^1837</f>
        <v>4.0969775727845162E+36</v>
      </c>
      <c r="I1839" s="4">
        <f>SimOpsY1*(1+SimOpsGrowth)^1837</f>
        <v>7.5259284350636675E+65</v>
      </c>
      <c r="J1839" s="4">
        <f>TrainDevY1*(1+TrainDevGrowth)^1837</f>
        <v>3.7629642175318338E+65</v>
      </c>
      <c r="K1839" s="4">
        <f>AdminY1*(1+AdminGrowth)^1837</f>
        <v>6.1362703735332147E+50</v>
      </c>
      <c r="L1839" s="4">
        <f t="shared" si="114"/>
        <v>1.1288892652595506E+66</v>
      </c>
      <c r="M1839" s="4">
        <f t="shared" si="115"/>
        <v>8.19264051854604E+80</v>
      </c>
    </row>
    <row r="1840" spans="1:13" x14ac:dyDescent="0.2">
      <c r="A1840" s="3">
        <f>StartYear+1838</f>
        <v>3863</v>
      </c>
      <c r="B1840" s="4">
        <f>FacultyFTE*HoursPerWeek*WeeksPerYear*RatePerHour*(1+PracticeGrowth)^1838</f>
        <v>2.5428701179545906E+44</v>
      </c>
      <c r="C1840" s="4">
        <f>StudentsY1*(1+StudentGrowth)^1838*CreditsPerStudent*TuitionPerCredit</f>
        <v>1.589293823721619E+45</v>
      </c>
      <c r="D1840" s="4">
        <f>SimRevY1*(1+SimGrowth)^1838</f>
        <v>6.007936380267104E+80</v>
      </c>
      <c r="E1840" s="4">
        <f>FacDevRevY1*(1+FacDevGrowth)^1838</f>
        <v>3.003968190133552E+80</v>
      </c>
      <c r="F1840" s="4">
        <f t="shared" si="112"/>
        <v>9.0119045704006555E+80</v>
      </c>
      <c r="G1840" s="4">
        <f t="shared" si="113"/>
        <v>9.0119045704006555E+80</v>
      </c>
      <c r="H1840" s="4">
        <f>SalaryFTECount*SalaryPerFTE*(1+SalaryGrowth)^1838</f>
        <v>4.2608566756958968E+36</v>
      </c>
      <c r="I1840" s="4">
        <f>SimOpsY1*(1+SimOpsGrowth)^1838</f>
        <v>8.1280027098687612E+65</v>
      </c>
      <c r="J1840" s="4">
        <f>TrainDevY1*(1+TrainDevGrowth)^1838</f>
        <v>4.0640013549343806E+65</v>
      </c>
      <c r="K1840" s="4">
        <f>AdminY1*(1+AdminGrowth)^1838</f>
        <v>6.5044465959452076E+50</v>
      </c>
      <c r="L1840" s="4">
        <f t="shared" si="114"/>
        <v>1.2192004064803147E+66</v>
      </c>
      <c r="M1840" s="4">
        <f t="shared" si="115"/>
        <v>9.0119045704006429E+80</v>
      </c>
    </row>
    <row r="1841" spans="1:13" x14ac:dyDescent="0.2">
      <c r="A1841" s="3">
        <f>StartYear+1839</f>
        <v>3864</v>
      </c>
      <c r="B1841" s="4">
        <f>FacultyFTE*HoursPerWeek*WeeksPerYear*RatePerHour*(1+PracticeGrowth)^1839</f>
        <v>2.6700136238523204E+44</v>
      </c>
      <c r="C1841" s="4">
        <f>StudentsY1*(1+StudentGrowth)^1839*CreditsPerStudent*TuitionPerCredit</f>
        <v>1.6687585149077003E+45</v>
      </c>
      <c r="D1841" s="4">
        <f>SimRevY1*(1+SimGrowth)^1839</f>
        <v>6.6087300182938156E+80</v>
      </c>
      <c r="E1841" s="4">
        <f>FacDevRevY1*(1+FacDevGrowth)^1839</f>
        <v>3.3043650091469078E+80</v>
      </c>
      <c r="F1841" s="4">
        <f t="shared" si="112"/>
        <v>9.9130950274407234E+80</v>
      </c>
      <c r="G1841" s="4">
        <f t="shared" si="113"/>
        <v>9.9130950274407234E+80</v>
      </c>
      <c r="H1841" s="4">
        <f>SalaryFTECount*SalaryPerFTE*(1+SalaryGrowth)^1839</f>
        <v>4.4312909427237335E+36</v>
      </c>
      <c r="I1841" s="4">
        <f>SimOpsY1*(1+SimOpsGrowth)^1839</f>
        <v>8.7782429266582632E+65</v>
      </c>
      <c r="J1841" s="4">
        <f>TrainDevY1*(1+TrainDevGrowth)^1839</f>
        <v>4.3891214633291316E+65</v>
      </c>
      <c r="K1841" s="4">
        <f>AdminY1*(1+AdminGrowth)^1839</f>
        <v>6.8947133917019236E+50</v>
      </c>
      <c r="L1841" s="4">
        <f t="shared" si="114"/>
        <v>1.3167364389987402E+66</v>
      </c>
      <c r="M1841" s="4">
        <f t="shared" si="115"/>
        <v>9.9130950274407107E+80</v>
      </c>
    </row>
    <row r="1842" spans="1:13" x14ac:dyDescent="0.2">
      <c r="A1842" s="3">
        <f>StartYear+1840</f>
        <v>3865</v>
      </c>
      <c r="B1842" s="4">
        <f>FacultyFTE*HoursPerWeek*WeeksPerYear*RatePerHour*(1+PracticeGrowth)^1840</f>
        <v>2.8035143050449364E+44</v>
      </c>
      <c r="C1842" s="4">
        <f>StudentsY1*(1+StudentGrowth)^1840*CreditsPerStudent*TuitionPerCredit</f>
        <v>1.7521964406530853E+45</v>
      </c>
      <c r="D1842" s="4">
        <f>SimRevY1*(1+SimGrowth)^1840</f>
        <v>7.2696030201231969E+80</v>
      </c>
      <c r="E1842" s="4">
        <f>FacDevRevY1*(1+FacDevGrowth)^1840</f>
        <v>3.6348015100615985E+80</v>
      </c>
      <c r="F1842" s="4">
        <f t="shared" si="112"/>
        <v>1.0904404530184796E+81</v>
      </c>
      <c r="G1842" s="4">
        <f t="shared" si="113"/>
        <v>1.0904404530184796E+81</v>
      </c>
      <c r="H1842" s="4">
        <f>SalaryFTECount*SalaryPerFTE*(1+SalaryGrowth)^1840</f>
        <v>4.6085425804326831E+36</v>
      </c>
      <c r="I1842" s="4">
        <f>SimOpsY1*(1+SimOpsGrowth)^1840</f>
        <v>9.4805023607909239E+65</v>
      </c>
      <c r="J1842" s="4">
        <f>TrainDevY1*(1+TrainDevGrowth)^1840</f>
        <v>4.7402511803954619E+65</v>
      </c>
      <c r="K1842" s="4">
        <f>AdminY1*(1+AdminGrowth)^1840</f>
        <v>7.3083961952040369E+50</v>
      </c>
      <c r="L1842" s="4">
        <f t="shared" si="114"/>
        <v>1.4220753541186393E+66</v>
      </c>
      <c r="M1842" s="4">
        <f t="shared" si="115"/>
        <v>1.0904404530184781E+81</v>
      </c>
    </row>
    <row r="1843" spans="1:13" x14ac:dyDescent="0.2">
      <c r="A1843" s="3">
        <f>StartYear+1841</f>
        <v>3866</v>
      </c>
      <c r="B1843" s="4">
        <f>FacultyFTE*HoursPerWeek*WeeksPerYear*RatePerHour*(1+PracticeGrowth)^1841</f>
        <v>2.9436900202971838E+44</v>
      </c>
      <c r="C1843" s="4">
        <f>StudentsY1*(1+StudentGrowth)^1841*CreditsPerStudent*TuitionPerCredit</f>
        <v>1.8398062626857397E+45</v>
      </c>
      <c r="D1843" s="4">
        <f>SimRevY1*(1+SimGrowth)^1841</f>
        <v>7.9965633221355172E+80</v>
      </c>
      <c r="E1843" s="4">
        <f>FacDevRevY1*(1+FacDevGrowth)^1841</f>
        <v>3.9982816610677586E+80</v>
      </c>
      <c r="F1843" s="4">
        <f t="shared" si="112"/>
        <v>1.1994844983203276E+81</v>
      </c>
      <c r="G1843" s="4">
        <f t="shared" si="113"/>
        <v>1.1994844983203276E+81</v>
      </c>
      <c r="H1843" s="4">
        <f>SalaryFTECount*SalaryPerFTE*(1+SalaryGrowth)^1841</f>
        <v>4.7928842836499905E+36</v>
      </c>
      <c r="I1843" s="4">
        <f>SimOpsY1*(1+SimOpsGrowth)^1841</f>
        <v>1.0238942549654198E+66</v>
      </c>
      <c r="J1843" s="4">
        <f>TrainDevY1*(1+TrainDevGrowth)^1841</f>
        <v>5.1194712748270992E+65</v>
      </c>
      <c r="K1843" s="4">
        <f>AdminY1*(1+AdminGrowth)^1841</f>
        <v>7.74689996691628E+50</v>
      </c>
      <c r="L1843" s="4">
        <f t="shared" si="114"/>
        <v>1.5358413824481305E+66</v>
      </c>
      <c r="M1843" s="4">
        <f t="shared" si="115"/>
        <v>1.1994844983203261E+81</v>
      </c>
    </row>
    <row r="1844" spans="1:13" x14ac:dyDescent="0.2">
      <c r="A1844" s="3">
        <f>StartYear+1842</f>
        <v>3867</v>
      </c>
      <c r="B1844" s="4">
        <f>FacultyFTE*HoursPerWeek*WeeksPerYear*RatePerHour*(1+PracticeGrowth)^1842</f>
        <v>3.0908745213120425E+44</v>
      </c>
      <c r="C1844" s="4">
        <f>StudentsY1*(1+StudentGrowth)^1842*CreditsPerStudent*TuitionPerCredit</f>
        <v>1.9317965758200264E+45</v>
      </c>
      <c r="D1844" s="4">
        <f>SimRevY1*(1+SimGrowth)^1842</f>
        <v>8.7962196543490706E+80</v>
      </c>
      <c r="E1844" s="4">
        <f>FacDevRevY1*(1+FacDevGrowth)^1842</f>
        <v>4.3981098271745353E+80</v>
      </c>
      <c r="F1844" s="4">
        <f t="shared" si="112"/>
        <v>1.3194329481523606E+81</v>
      </c>
      <c r="G1844" s="4">
        <f t="shared" si="113"/>
        <v>1.3194329481523606E+81</v>
      </c>
      <c r="H1844" s="4">
        <f>SalaryFTECount*SalaryPerFTE*(1+SalaryGrowth)^1842</f>
        <v>4.9845996549959899E+36</v>
      </c>
      <c r="I1844" s="4">
        <f>SimOpsY1*(1+SimOpsGrowth)^1842</f>
        <v>1.1058057953626535E+66</v>
      </c>
      <c r="J1844" s="4">
        <f>TrainDevY1*(1+TrainDevGrowth)^1842</f>
        <v>5.5290289768132677E+65</v>
      </c>
      <c r="K1844" s="4">
        <f>AdminY1*(1+AdminGrowth)^1842</f>
        <v>8.2117139649312563E+50</v>
      </c>
      <c r="L1844" s="4">
        <f t="shared" si="114"/>
        <v>1.6587086930439811E+66</v>
      </c>
      <c r="M1844" s="4">
        <f t="shared" si="115"/>
        <v>1.3194329481523589E+81</v>
      </c>
    </row>
    <row r="1845" spans="1:13" x14ac:dyDescent="0.2">
      <c r="A1845" s="3">
        <f>StartYear+1843</f>
        <v>3868</v>
      </c>
      <c r="B1845" s="4">
        <f>FacultyFTE*HoursPerWeek*WeeksPerYear*RatePerHour*(1+PracticeGrowth)^1843</f>
        <v>3.2454182473776443E+44</v>
      </c>
      <c r="C1845" s="4">
        <f>StudentsY1*(1+StudentGrowth)^1843*CreditsPerStudent*TuitionPerCredit</f>
        <v>2.0283864046110276E+45</v>
      </c>
      <c r="D1845" s="4">
        <f>SimRevY1*(1+SimGrowth)^1843</f>
        <v>9.6758416197839772E+80</v>
      </c>
      <c r="E1845" s="4">
        <f>FacDevRevY1*(1+FacDevGrowth)^1843</f>
        <v>4.8379208098919886E+80</v>
      </c>
      <c r="F1845" s="4">
        <f t="shared" si="112"/>
        <v>1.4513762429675967E+81</v>
      </c>
      <c r="G1845" s="4">
        <f t="shared" si="113"/>
        <v>1.4513762429675967E+81</v>
      </c>
      <c r="H1845" s="4">
        <f>SalaryFTECount*SalaryPerFTE*(1+SalaryGrowth)^1843</f>
        <v>5.1839836411958308E+36</v>
      </c>
      <c r="I1845" s="4">
        <f>SimOpsY1*(1+SimOpsGrowth)^1843</f>
        <v>1.1942702589916658E+66</v>
      </c>
      <c r="J1845" s="4">
        <f>TrainDevY1*(1+TrainDevGrowth)^1843</f>
        <v>5.9713512949583289E+65</v>
      </c>
      <c r="K1845" s="4">
        <f>AdminY1*(1+AdminGrowth)^1843</f>
        <v>8.7044168028271318E+50</v>
      </c>
      <c r="L1845" s="4">
        <f t="shared" si="114"/>
        <v>1.7914053884874992E+66</v>
      </c>
      <c r="M1845" s="4">
        <f t="shared" si="115"/>
        <v>1.4513762429675948E+81</v>
      </c>
    </row>
    <row r="1846" spans="1:13" x14ac:dyDescent="0.2">
      <c r="A1846" s="3">
        <f>StartYear+1844</f>
        <v>3869</v>
      </c>
      <c r="B1846" s="4">
        <f>FacultyFTE*HoursPerWeek*WeeksPerYear*RatePerHour*(1+PracticeGrowth)^1844</f>
        <v>3.4076891597465266E+44</v>
      </c>
      <c r="C1846" s="4">
        <f>StudentsY1*(1+StudentGrowth)^1844*CreditsPerStudent*TuitionPerCredit</f>
        <v>2.1298057248415794E+45</v>
      </c>
      <c r="D1846" s="4">
        <f>SimRevY1*(1+SimGrowth)^1844</f>
        <v>1.0643425781762375E+81</v>
      </c>
      <c r="E1846" s="4">
        <f>FacDevRevY1*(1+FacDevGrowth)^1844</f>
        <v>5.3217128908811876E+80</v>
      </c>
      <c r="F1846" s="4">
        <f t="shared" si="112"/>
        <v>1.5965138672643563E+81</v>
      </c>
      <c r="G1846" s="4">
        <f t="shared" si="113"/>
        <v>1.5965138672643563E+81</v>
      </c>
      <c r="H1846" s="4">
        <f>SalaryFTECount*SalaryPerFTE*(1+SalaryGrowth)^1844</f>
        <v>5.3913429868436637E+36</v>
      </c>
      <c r="I1846" s="4">
        <f>SimOpsY1*(1+SimOpsGrowth)^1844</f>
        <v>1.2898118797109989E+66</v>
      </c>
      <c r="J1846" s="4">
        <f>TrainDevY1*(1+TrainDevGrowth)^1844</f>
        <v>6.4490593985549947E+65</v>
      </c>
      <c r="K1846" s="4">
        <f>AdminY1*(1+AdminGrowth)^1844</f>
        <v>9.2266818109967607E+50</v>
      </c>
      <c r="L1846" s="4">
        <f t="shared" si="114"/>
        <v>1.9347178195664992E+66</v>
      </c>
      <c r="M1846" s="4">
        <f t="shared" si="115"/>
        <v>1.5965138672643544E+81</v>
      </c>
    </row>
    <row r="1847" spans="1:13" x14ac:dyDescent="0.2">
      <c r="A1847" s="3">
        <f>StartYear+1845</f>
        <v>3870</v>
      </c>
      <c r="B1847" s="4">
        <f>FacultyFTE*HoursPerWeek*WeeksPerYear*RatePerHour*(1+PracticeGrowth)^1845</f>
        <v>3.5780736177338526E+44</v>
      </c>
      <c r="C1847" s="4">
        <f>StudentsY1*(1+StudentGrowth)^1845*CreditsPerStudent*TuitionPerCredit</f>
        <v>2.2362960110836583E+45</v>
      </c>
      <c r="D1847" s="4">
        <f>SimRevY1*(1+SimGrowth)^1845</f>
        <v>1.1707768359938614E+81</v>
      </c>
      <c r="E1847" s="4">
        <f>FacDevRevY1*(1+FacDevGrowth)^1845</f>
        <v>5.8538841799693069E+80</v>
      </c>
      <c r="F1847" s="4">
        <f t="shared" si="112"/>
        <v>1.7561652539907921E+81</v>
      </c>
      <c r="G1847" s="4">
        <f t="shared" si="113"/>
        <v>1.7561652539907921E+81</v>
      </c>
      <c r="H1847" s="4">
        <f>SalaryFTECount*SalaryPerFTE*(1+SalaryGrowth)^1845</f>
        <v>5.6069967063174118E+36</v>
      </c>
      <c r="I1847" s="4">
        <f>SimOpsY1*(1+SimOpsGrowth)^1845</f>
        <v>1.392996830087879E+66</v>
      </c>
      <c r="J1847" s="4">
        <f>TrainDevY1*(1+TrainDevGrowth)^1845</f>
        <v>6.9649841504393951E+65</v>
      </c>
      <c r="K1847" s="4">
        <f>AdminY1*(1+AdminGrowth)^1845</f>
        <v>9.7802827196565671E+50</v>
      </c>
      <c r="L1847" s="4">
        <f t="shared" si="114"/>
        <v>2.0894952451318196E+66</v>
      </c>
      <c r="M1847" s="4">
        <f t="shared" si="115"/>
        <v>1.75616525399079E+81</v>
      </c>
    </row>
    <row r="1848" spans="1:13" x14ac:dyDescent="0.2">
      <c r="A1848" s="3">
        <f>StartYear+1846</f>
        <v>3871</v>
      </c>
      <c r="B1848" s="4">
        <f>FacultyFTE*HoursPerWeek*WeeksPerYear*RatePerHour*(1+PracticeGrowth)^1846</f>
        <v>3.7569772986205454E+44</v>
      </c>
      <c r="C1848" s="4">
        <f>StudentsY1*(1+StudentGrowth)^1846*CreditsPerStudent*TuitionPerCredit</f>
        <v>2.3481108116378407E+45</v>
      </c>
      <c r="D1848" s="4">
        <f>SimRevY1*(1+SimGrowth)^1846</f>
        <v>1.2878545195932477E+81</v>
      </c>
      <c r="E1848" s="4">
        <f>FacDevRevY1*(1+FacDevGrowth)^1846</f>
        <v>6.4392725979662387E+80</v>
      </c>
      <c r="F1848" s="4">
        <f t="shared" si="112"/>
        <v>1.9317817793898716E+81</v>
      </c>
      <c r="G1848" s="4">
        <f t="shared" si="113"/>
        <v>1.9317817793898716E+81</v>
      </c>
      <c r="H1848" s="4">
        <f>SalaryFTECount*SalaryPerFTE*(1+SalaryGrowth)^1846</f>
        <v>5.8312765745701075E+36</v>
      </c>
      <c r="I1848" s="4">
        <f>SimOpsY1*(1+SimOpsGrowth)^1846</f>
        <v>1.5044365764949096E+66</v>
      </c>
      <c r="J1848" s="4">
        <f>TrainDevY1*(1+TrainDevGrowth)^1846</f>
        <v>7.5221828824745482E+65</v>
      </c>
      <c r="K1848" s="4">
        <f>AdminY1*(1+AdminGrowth)^1846</f>
        <v>1.0367099682835963E+51</v>
      </c>
      <c r="L1848" s="4">
        <f t="shared" si="114"/>
        <v>2.2566548647423657E+66</v>
      </c>
      <c r="M1848" s="4">
        <f t="shared" si="115"/>
        <v>1.9317817793898695E+81</v>
      </c>
    </row>
    <row r="1849" spans="1:13" x14ac:dyDescent="0.2">
      <c r="A1849" s="3">
        <f>StartYear+1847</f>
        <v>3872</v>
      </c>
      <c r="B1849" s="4">
        <f>FacultyFTE*HoursPerWeek*WeeksPerYear*RatePerHour*(1+PracticeGrowth)^1847</f>
        <v>3.9448261635515737E+44</v>
      </c>
      <c r="C1849" s="4">
        <f>StudentsY1*(1+StudentGrowth)^1847*CreditsPerStudent*TuitionPerCredit</f>
        <v>2.4655163522197336E+45</v>
      </c>
      <c r="D1849" s="4">
        <f>SimRevY1*(1+SimGrowth)^1847</f>
        <v>1.4166399715525729E+81</v>
      </c>
      <c r="E1849" s="4">
        <f>FacDevRevY1*(1+FacDevGrowth)^1847</f>
        <v>7.0831998577628645E+80</v>
      </c>
      <c r="F1849" s="4">
        <f t="shared" si="112"/>
        <v>2.1249599573288594E+81</v>
      </c>
      <c r="G1849" s="4">
        <f t="shared" si="113"/>
        <v>2.1249599573288594E+81</v>
      </c>
      <c r="H1849" s="4">
        <f>SalaryFTECount*SalaryPerFTE*(1+SalaryGrowth)^1847</f>
        <v>6.0645276375529128E+36</v>
      </c>
      <c r="I1849" s="4">
        <f>SimOpsY1*(1+SimOpsGrowth)^1847</f>
        <v>1.6247915026145026E+66</v>
      </c>
      <c r="J1849" s="4">
        <f>TrainDevY1*(1+TrainDevGrowth)^1847</f>
        <v>8.123957513072513E+65</v>
      </c>
      <c r="K1849" s="4">
        <f>AdminY1*(1+AdminGrowth)^1847</f>
        <v>1.098912566380612E+51</v>
      </c>
      <c r="L1849" s="4">
        <f t="shared" si="114"/>
        <v>2.437187253921755E+66</v>
      </c>
      <c r="M1849" s="4">
        <f t="shared" si="115"/>
        <v>2.1249599573288569E+81</v>
      </c>
    </row>
    <row r="1850" spans="1:13" x14ac:dyDescent="0.2">
      <c r="A1850" s="3">
        <f>StartYear+1848</f>
        <v>3873</v>
      </c>
      <c r="B1850" s="4">
        <f>FacultyFTE*HoursPerWeek*WeeksPerYear*RatePerHour*(1+PracticeGrowth)^1848</f>
        <v>4.1420674717291516E+44</v>
      </c>
      <c r="C1850" s="4">
        <f>StudentsY1*(1+StudentGrowth)^1848*CreditsPerStudent*TuitionPerCredit</f>
        <v>2.5887921698307199E+45</v>
      </c>
      <c r="D1850" s="4">
        <f>SimRevY1*(1+SimGrowth)^1848</f>
        <v>1.5583039687078297E+81</v>
      </c>
      <c r="E1850" s="4">
        <f>FacDevRevY1*(1+FacDevGrowth)^1848</f>
        <v>7.7915198435391483E+80</v>
      </c>
      <c r="F1850" s="4">
        <f t="shared" si="112"/>
        <v>2.3374559530617446E+81</v>
      </c>
      <c r="G1850" s="4">
        <f t="shared" si="113"/>
        <v>2.3374559530617446E+81</v>
      </c>
      <c r="H1850" s="4">
        <f>SalaryFTECount*SalaryPerFTE*(1+SalaryGrowth)^1848</f>
        <v>6.307108743055028E+36</v>
      </c>
      <c r="I1850" s="4">
        <f>SimOpsY1*(1+SimOpsGrowth)^1848</f>
        <v>1.7547748228236628E+66</v>
      </c>
      <c r="J1850" s="4">
        <f>TrainDevY1*(1+TrainDevGrowth)^1848</f>
        <v>8.7738741141183138E+65</v>
      </c>
      <c r="K1850" s="4">
        <f>AdminY1*(1+AdminGrowth)^1848</f>
        <v>1.1648473203634484E+51</v>
      </c>
      <c r="L1850" s="4">
        <f t="shared" si="114"/>
        <v>2.6321622342354951E+66</v>
      </c>
      <c r="M1850" s="4">
        <f t="shared" si="115"/>
        <v>2.3374559530617421E+81</v>
      </c>
    </row>
    <row r="1851" spans="1:13" x14ac:dyDescent="0.2">
      <c r="A1851" s="3">
        <f>StartYear+1849</f>
        <v>3874</v>
      </c>
      <c r="B1851" s="4">
        <f>FacultyFTE*HoursPerWeek*WeeksPerYear*RatePerHour*(1+PracticeGrowth)^1849</f>
        <v>4.3491708453156097E+44</v>
      </c>
      <c r="C1851" s="4">
        <f>StudentsY1*(1+StudentGrowth)^1849*CreditsPerStudent*TuitionPerCredit</f>
        <v>2.7182317783222559E+45</v>
      </c>
      <c r="D1851" s="4">
        <f>SimRevY1*(1+SimGrowth)^1849</f>
        <v>1.7141343655786129E+81</v>
      </c>
      <c r="E1851" s="4">
        <f>FacDevRevY1*(1+FacDevGrowth)^1849</f>
        <v>8.5706718278930645E+80</v>
      </c>
      <c r="F1851" s="4">
        <f t="shared" si="112"/>
        <v>2.5712015483679193E+81</v>
      </c>
      <c r="G1851" s="4">
        <f t="shared" si="113"/>
        <v>2.5712015483679193E+81</v>
      </c>
      <c r="H1851" s="4">
        <f>SalaryFTECount*SalaryPerFTE*(1+SalaryGrowth)^1849</f>
        <v>6.5593930927772307E+36</v>
      </c>
      <c r="I1851" s="4">
        <f>SimOpsY1*(1+SimOpsGrowth)^1849</f>
        <v>1.8951568086495563E+66</v>
      </c>
      <c r="J1851" s="4">
        <f>TrainDevY1*(1+TrainDevGrowth)^1849</f>
        <v>9.4757840432477814E+65</v>
      </c>
      <c r="K1851" s="4">
        <f>AdminY1*(1+AdminGrowth)^1849</f>
        <v>1.2347381595852557E+51</v>
      </c>
      <c r="L1851" s="4">
        <f t="shared" si="114"/>
        <v>2.8427352129743355E+66</v>
      </c>
      <c r="M1851" s="4">
        <f t="shared" si="115"/>
        <v>2.5712015483679164E+81</v>
      </c>
    </row>
    <row r="1852" spans="1:13" x14ac:dyDescent="0.2">
      <c r="A1852" s="3">
        <f>StartYear+1850</f>
        <v>3875</v>
      </c>
      <c r="B1852" s="4">
        <f>FacultyFTE*HoursPerWeek*WeeksPerYear*RatePerHour*(1+PracticeGrowth)^1850</f>
        <v>4.5666293875813907E+44</v>
      </c>
      <c r="C1852" s="4">
        <f>StudentsY1*(1+StudentGrowth)^1850*CreditsPerStudent*TuitionPerCredit</f>
        <v>2.8541433672383693E+45</v>
      </c>
      <c r="D1852" s="4">
        <f>SimRevY1*(1+SimGrowth)^1850</f>
        <v>1.8855478021364745E+81</v>
      </c>
      <c r="E1852" s="4">
        <f>FacDevRevY1*(1+FacDevGrowth)^1850</f>
        <v>9.4277390106823724E+80</v>
      </c>
      <c r="F1852" s="4">
        <f t="shared" si="112"/>
        <v>2.8283217032047118E+81</v>
      </c>
      <c r="G1852" s="4">
        <f t="shared" si="113"/>
        <v>2.8283217032047118E+81</v>
      </c>
      <c r="H1852" s="4">
        <f>SalaryFTECount*SalaryPerFTE*(1+SalaryGrowth)^1850</f>
        <v>6.8217688164883188E+36</v>
      </c>
      <c r="I1852" s="4">
        <f>SimOpsY1*(1+SimOpsGrowth)^1850</f>
        <v>2.0467693533415202E+66</v>
      </c>
      <c r="J1852" s="4">
        <f>TrainDevY1*(1+TrainDevGrowth)^1850</f>
        <v>1.0233846766707601E+66</v>
      </c>
      <c r="K1852" s="4">
        <f>AdminY1*(1+AdminGrowth)^1850</f>
        <v>1.3088224491603708E+51</v>
      </c>
      <c r="L1852" s="4">
        <f t="shared" si="114"/>
        <v>3.0701540300122812E+66</v>
      </c>
      <c r="M1852" s="4">
        <f t="shared" si="115"/>
        <v>2.8283217032047089E+81</v>
      </c>
    </row>
    <row r="1853" spans="1:13" x14ac:dyDescent="0.2">
      <c r="A1853" s="3">
        <f>StartYear+1851</f>
        <v>3876</v>
      </c>
      <c r="B1853" s="4">
        <f>FacultyFTE*HoursPerWeek*WeeksPerYear*RatePerHour*(1+PracticeGrowth)^1851</f>
        <v>4.7949608569604607E+44</v>
      </c>
      <c r="C1853" s="4">
        <f>StudentsY1*(1+StudentGrowth)^1851*CreditsPerStudent*TuitionPerCredit</f>
        <v>2.9968505356002877E+45</v>
      </c>
      <c r="D1853" s="4">
        <f>SimRevY1*(1+SimGrowth)^1851</f>
        <v>2.0741025823501223E+81</v>
      </c>
      <c r="E1853" s="4">
        <f>FacDevRevY1*(1+FacDevGrowth)^1851</f>
        <v>1.0370512911750611E+81</v>
      </c>
      <c r="F1853" s="4">
        <f t="shared" si="112"/>
        <v>3.1111538735251834E+81</v>
      </c>
      <c r="G1853" s="4">
        <f t="shared" si="113"/>
        <v>3.1111538735251834E+81</v>
      </c>
      <c r="H1853" s="4">
        <f>SalaryFTECount*SalaryPerFTE*(1+SalaryGrowth)^1851</f>
        <v>7.0946395691478525E+36</v>
      </c>
      <c r="I1853" s="4">
        <f>SimOpsY1*(1+SimOpsGrowth)^1851</f>
        <v>2.2105109016088421E+66</v>
      </c>
      <c r="J1853" s="4">
        <f>TrainDevY1*(1+TrainDevGrowth)^1851</f>
        <v>1.1052554508044211E+66</v>
      </c>
      <c r="K1853" s="4">
        <f>AdminY1*(1+AdminGrowth)^1851</f>
        <v>1.3873517961099935E+51</v>
      </c>
      <c r="L1853" s="4">
        <f t="shared" si="114"/>
        <v>3.3157663524132645E+66</v>
      </c>
      <c r="M1853" s="4">
        <f t="shared" si="115"/>
        <v>3.1111538735251801E+81</v>
      </c>
    </row>
    <row r="1854" spans="1:13" x14ac:dyDescent="0.2">
      <c r="A1854" s="3">
        <f>StartYear+1852</f>
        <v>3877</v>
      </c>
      <c r="B1854" s="4">
        <f>FacultyFTE*HoursPerWeek*WeeksPerYear*RatePerHour*(1+PracticeGrowth)^1852</f>
        <v>5.0347088998084815E+44</v>
      </c>
      <c r="C1854" s="4">
        <f>StudentsY1*(1+StudentGrowth)^1852*CreditsPerStudent*TuitionPerCredit</f>
        <v>3.146693062380301E+45</v>
      </c>
      <c r="D1854" s="4">
        <f>SimRevY1*(1+SimGrowth)^1852</f>
        <v>2.2815128405851344E+81</v>
      </c>
      <c r="E1854" s="4">
        <f>FacDevRevY1*(1+FacDevGrowth)^1852</f>
        <v>1.1407564202925672E+81</v>
      </c>
      <c r="F1854" s="4">
        <f t="shared" si="112"/>
        <v>3.4222692608777014E+81</v>
      </c>
      <c r="G1854" s="4">
        <f t="shared" si="113"/>
        <v>3.4222692608777014E+81</v>
      </c>
      <c r="H1854" s="4">
        <f>SalaryFTECount*SalaryPerFTE*(1+SalaryGrowth)^1852</f>
        <v>7.3784251519137685E+36</v>
      </c>
      <c r="I1854" s="4">
        <f>SimOpsY1*(1+SimOpsGrowth)^1852</f>
        <v>2.3873517737375493E+66</v>
      </c>
      <c r="J1854" s="4">
        <f>TrainDevY1*(1+TrainDevGrowth)^1852</f>
        <v>1.1936758868687746E+66</v>
      </c>
      <c r="K1854" s="4">
        <f>AdminY1*(1+AdminGrowth)^1852</f>
        <v>1.4705929038765928E+51</v>
      </c>
      <c r="L1854" s="4">
        <f t="shared" si="114"/>
        <v>3.5810276606063258E+66</v>
      </c>
      <c r="M1854" s="4">
        <f t="shared" si="115"/>
        <v>3.4222692608776976E+81</v>
      </c>
    </row>
    <row r="1855" spans="1:13" x14ac:dyDescent="0.2">
      <c r="A1855" s="3">
        <f>StartYear+1853</f>
        <v>3878</v>
      </c>
      <c r="B1855" s="4">
        <f>FacultyFTE*HoursPerWeek*WeeksPerYear*RatePerHour*(1+PracticeGrowth)^1853</f>
        <v>5.2864443447989077E+44</v>
      </c>
      <c r="C1855" s="4">
        <f>StudentsY1*(1+StudentGrowth)^1853*CreditsPerStudent*TuitionPerCredit</f>
        <v>3.3040277154993172E+45</v>
      </c>
      <c r="D1855" s="4">
        <f>SimRevY1*(1+SimGrowth)^1853</f>
        <v>2.5096641246436485E+81</v>
      </c>
      <c r="E1855" s="4">
        <f>FacDevRevY1*(1+FacDevGrowth)^1853</f>
        <v>1.2548320623218243E+81</v>
      </c>
      <c r="F1855" s="4">
        <f t="shared" si="112"/>
        <v>3.7644961869654728E+81</v>
      </c>
      <c r="G1855" s="4">
        <f t="shared" si="113"/>
        <v>3.7644961869654728E+81</v>
      </c>
      <c r="H1855" s="4">
        <f>SalaryFTECount*SalaryPerFTE*(1+SalaryGrowth)^1853</f>
        <v>7.6735621579903202E+36</v>
      </c>
      <c r="I1855" s="4">
        <f>SimOpsY1*(1+SimOpsGrowth)^1853</f>
        <v>2.5783399156365535E+66</v>
      </c>
      <c r="J1855" s="4">
        <f>TrainDevY1*(1+TrainDevGrowth)^1853</f>
        <v>1.2891699578182767E+66</v>
      </c>
      <c r="K1855" s="4">
        <f>AdminY1*(1+AdminGrowth)^1853</f>
        <v>1.5588284781091893E+51</v>
      </c>
      <c r="L1855" s="4">
        <f t="shared" si="114"/>
        <v>3.8675098734548319E+66</v>
      </c>
      <c r="M1855" s="4">
        <f t="shared" si="115"/>
        <v>3.764496186965469E+81</v>
      </c>
    </row>
    <row r="1856" spans="1:13" x14ac:dyDescent="0.2">
      <c r="A1856" s="3">
        <f>StartYear+1854</f>
        <v>3879</v>
      </c>
      <c r="B1856" s="4">
        <f>FacultyFTE*HoursPerWeek*WeeksPerYear*RatePerHour*(1+PracticeGrowth)^1854</f>
        <v>5.5507665620388514E+44</v>
      </c>
      <c r="C1856" s="4">
        <f>StudentsY1*(1+StudentGrowth)^1854*CreditsPerStudent*TuitionPerCredit</f>
        <v>3.4692291012742816E+45</v>
      </c>
      <c r="D1856" s="4">
        <f>SimRevY1*(1+SimGrowth)^1854</f>
        <v>2.7606305371080128E+81</v>
      </c>
      <c r="E1856" s="4">
        <f>FacDevRevY1*(1+FacDevGrowth)^1854</f>
        <v>1.3803152685540064E+81</v>
      </c>
      <c r="F1856" s="4">
        <f t="shared" si="112"/>
        <v>4.1409458056620191E+81</v>
      </c>
      <c r="G1856" s="4">
        <f t="shared" si="113"/>
        <v>4.1409458056620191E+81</v>
      </c>
      <c r="H1856" s="4">
        <f>SalaryFTECount*SalaryPerFTE*(1+SalaryGrowth)^1854</f>
        <v>7.9805046443099302E+36</v>
      </c>
      <c r="I1856" s="4">
        <f>SimOpsY1*(1+SimOpsGrowth)^1854</f>
        <v>2.7846071088874779E+66</v>
      </c>
      <c r="J1856" s="4">
        <f>TrainDevY1*(1+TrainDevGrowth)^1854</f>
        <v>1.392303554443739E+66</v>
      </c>
      <c r="K1856" s="4">
        <f>AdminY1*(1+AdminGrowth)^1854</f>
        <v>1.6523581867957403E+51</v>
      </c>
      <c r="L1856" s="4">
        <f t="shared" si="114"/>
        <v>4.1769106633312182E+66</v>
      </c>
      <c r="M1856" s="4">
        <f t="shared" si="115"/>
        <v>4.1409458056620148E+81</v>
      </c>
    </row>
    <row r="1857" spans="1:13" x14ac:dyDescent="0.2">
      <c r="A1857" s="3">
        <f>StartYear+1855</f>
        <v>3880</v>
      </c>
      <c r="B1857" s="4">
        <f>FacultyFTE*HoursPerWeek*WeeksPerYear*RatePerHour*(1+PracticeGrowth)^1855</f>
        <v>5.8283048901407952E+44</v>
      </c>
      <c r="C1857" s="4">
        <f>StudentsY1*(1+StudentGrowth)^1855*CreditsPerStudent*TuitionPerCredit</f>
        <v>3.6426905563379971E+45</v>
      </c>
      <c r="D1857" s="4">
        <f>SimRevY1*(1+SimGrowth)^1855</f>
        <v>3.0366935908188142E+81</v>
      </c>
      <c r="E1857" s="4">
        <f>FacDevRevY1*(1+FacDevGrowth)^1855</f>
        <v>1.5183467954094071E+81</v>
      </c>
      <c r="F1857" s="4">
        <f t="shared" si="112"/>
        <v>4.5550403862282211E+81</v>
      </c>
      <c r="G1857" s="4">
        <f t="shared" si="113"/>
        <v>4.5550403862282211E+81</v>
      </c>
      <c r="H1857" s="4">
        <f>SalaryFTECount*SalaryPerFTE*(1+SalaryGrowth)^1855</f>
        <v>8.2997248300823264E+36</v>
      </c>
      <c r="I1857" s="4">
        <f>SimOpsY1*(1+SimOpsGrowth)^1855</f>
        <v>3.0073756775984771E+66</v>
      </c>
      <c r="J1857" s="4">
        <f>TrainDevY1*(1+TrainDevGrowth)^1855</f>
        <v>1.5036878387992385E+66</v>
      </c>
      <c r="K1857" s="4">
        <f>AdminY1*(1+AdminGrowth)^1855</f>
        <v>1.7514996780034851E+51</v>
      </c>
      <c r="L1857" s="4">
        <f t="shared" si="114"/>
        <v>4.5110635163977167E+66</v>
      </c>
      <c r="M1857" s="4">
        <f t="shared" si="115"/>
        <v>4.5550403862282168E+81</v>
      </c>
    </row>
    <row r="1858" spans="1:13" x14ac:dyDescent="0.2">
      <c r="A1858" s="3">
        <f>StartYear+1856</f>
        <v>3881</v>
      </c>
      <c r="B1858" s="4">
        <f>FacultyFTE*HoursPerWeek*WeeksPerYear*RatePerHour*(1+PracticeGrowth)^1856</f>
        <v>6.1197201346478347E+44</v>
      </c>
      <c r="C1858" s="4">
        <f>StudentsY1*(1+StudentGrowth)^1856*CreditsPerStudent*TuitionPerCredit</f>
        <v>3.8248250841548967E+45</v>
      </c>
      <c r="D1858" s="4">
        <f>SimRevY1*(1+SimGrowth)^1856</f>
        <v>3.3403629499006956E+81</v>
      </c>
      <c r="E1858" s="4">
        <f>FacDevRevY1*(1+FacDevGrowth)^1856</f>
        <v>1.6701814749503478E+81</v>
      </c>
      <c r="F1858" s="4">
        <f t="shared" ref="F1858:F1921" si="116">C1858+D1858+E1858</f>
        <v>5.0105444248510437E+81</v>
      </c>
      <c r="G1858" s="4">
        <f t="shared" ref="G1858:G1921" si="117">B1858+F1858</f>
        <v>5.0105444248510437E+81</v>
      </c>
      <c r="H1858" s="4">
        <f>SalaryFTECount*SalaryPerFTE*(1+SalaryGrowth)^1856</f>
        <v>8.6317138232856239E+36</v>
      </c>
      <c r="I1858" s="4">
        <f>SimOpsY1*(1+SimOpsGrowth)^1856</f>
        <v>3.2479657318063552E+66</v>
      </c>
      <c r="J1858" s="4">
        <f>TrainDevY1*(1+TrainDevGrowth)^1856</f>
        <v>1.6239828659031776E+66</v>
      </c>
      <c r="K1858" s="4">
        <f>AdminY1*(1+AdminGrowth)^1856</f>
        <v>1.8565896586836934E+51</v>
      </c>
      <c r="L1858" s="4">
        <f t="shared" ref="L1858:L1921" si="118">SUM(H1858:K1858)</f>
        <v>4.8719485977095341E+66</v>
      </c>
      <c r="M1858" s="4">
        <f t="shared" ref="M1858:M1921" si="119">G1858-L1858</f>
        <v>5.0105444248510386E+81</v>
      </c>
    </row>
    <row r="1859" spans="1:13" x14ac:dyDescent="0.2">
      <c r="A1859" s="3">
        <f>StartYear+1857</f>
        <v>3882</v>
      </c>
      <c r="B1859" s="4">
        <f>FacultyFTE*HoursPerWeek*WeeksPerYear*RatePerHour*(1+PracticeGrowth)^1857</f>
        <v>6.4257061413802277E+44</v>
      </c>
      <c r="C1859" s="4">
        <f>StudentsY1*(1+StudentGrowth)^1857*CreditsPerStudent*TuitionPerCredit</f>
        <v>4.0160663383626419E+45</v>
      </c>
      <c r="D1859" s="4">
        <f>SimRevY1*(1+SimGrowth)^1857</f>
        <v>3.6743992448907654E+81</v>
      </c>
      <c r="E1859" s="4">
        <f>FacDevRevY1*(1+FacDevGrowth)^1857</f>
        <v>1.8371996224453827E+81</v>
      </c>
      <c r="F1859" s="4">
        <f t="shared" si="116"/>
        <v>5.5115988673361481E+81</v>
      </c>
      <c r="G1859" s="4">
        <f t="shared" si="117"/>
        <v>5.5115988673361481E+81</v>
      </c>
      <c r="H1859" s="4">
        <f>SalaryFTECount*SalaryPerFTE*(1+SalaryGrowth)^1857</f>
        <v>8.9769823762170485E+36</v>
      </c>
      <c r="I1859" s="4">
        <f>SimOpsY1*(1+SimOpsGrowth)^1857</f>
        <v>3.507802990350864E+66</v>
      </c>
      <c r="J1859" s="4">
        <f>TrainDevY1*(1+TrainDevGrowth)^1857</f>
        <v>1.753901495175432E+66</v>
      </c>
      <c r="K1859" s="4">
        <f>AdminY1*(1+AdminGrowth)^1857</f>
        <v>1.9679850382047154E+51</v>
      </c>
      <c r="L1859" s="4">
        <f t="shared" si="118"/>
        <v>5.2617044855262983E+66</v>
      </c>
      <c r="M1859" s="4">
        <f t="shared" si="119"/>
        <v>5.5115988673361431E+81</v>
      </c>
    </row>
    <row r="1860" spans="1:13" x14ac:dyDescent="0.2">
      <c r="A1860" s="3">
        <f>StartYear+1858</f>
        <v>3883</v>
      </c>
      <c r="B1860" s="4">
        <f>FacultyFTE*HoursPerWeek*WeeksPerYear*RatePerHour*(1+PracticeGrowth)^1858</f>
        <v>6.7469914484492385E+44</v>
      </c>
      <c r="C1860" s="4">
        <f>StudentsY1*(1+StudentGrowth)^1858*CreditsPerStudent*TuitionPerCredit</f>
        <v>4.2168696552807748E+45</v>
      </c>
      <c r="D1860" s="4">
        <f>SimRevY1*(1+SimGrowth)^1858</f>
        <v>4.0418391693798425E+81</v>
      </c>
      <c r="E1860" s="4">
        <f>FacDevRevY1*(1+FacDevGrowth)^1858</f>
        <v>2.0209195846899212E+81</v>
      </c>
      <c r="F1860" s="4">
        <f t="shared" si="116"/>
        <v>6.0627587540697637E+81</v>
      </c>
      <c r="G1860" s="4">
        <f t="shared" si="117"/>
        <v>6.0627587540697637E+81</v>
      </c>
      <c r="H1860" s="4">
        <f>SalaryFTECount*SalaryPerFTE*(1+SalaryGrowth)^1858</f>
        <v>9.336061671265731E+36</v>
      </c>
      <c r="I1860" s="4">
        <f>SimOpsY1*(1+SimOpsGrowth)^1858</f>
        <v>3.7884272295789327E+66</v>
      </c>
      <c r="J1860" s="4">
        <f>TrainDevY1*(1+TrainDevGrowth)^1858</f>
        <v>1.8942136147894664E+66</v>
      </c>
      <c r="K1860" s="4">
        <f>AdminY1*(1+AdminGrowth)^1858</f>
        <v>2.0860641404969987E+51</v>
      </c>
      <c r="L1860" s="4">
        <f t="shared" si="118"/>
        <v>5.6826408443684013E+66</v>
      </c>
      <c r="M1860" s="4">
        <f t="shared" si="119"/>
        <v>6.0627587540697578E+81</v>
      </c>
    </row>
    <row r="1861" spans="1:13" x14ac:dyDescent="0.2">
      <c r="A1861" s="3">
        <f>StartYear+1859</f>
        <v>3884</v>
      </c>
      <c r="B1861" s="4">
        <f>FacultyFTE*HoursPerWeek*WeeksPerYear*RatePerHour*(1+PracticeGrowth)^1859</f>
        <v>7.0843410208717017E+44</v>
      </c>
      <c r="C1861" s="4">
        <f>StudentsY1*(1+StudentGrowth)^1859*CreditsPerStudent*TuitionPerCredit</f>
        <v>4.4277131380448136E+45</v>
      </c>
      <c r="D1861" s="4">
        <f>SimRevY1*(1+SimGrowth)^1859</f>
        <v>4.4460230863178287E+81</v>
      </c>
      <c r="E1861" s="4">
        <f>FacDevRevY1*(1+FacDevGrowth)^1859</f>
        <v>2.2230115431589144E+81</v>
      </c>
      <c r="F1861" s="4">
        <f t="shared" si="116"/>
        <v>6.6690346294767431E+81</v>
      </c>
      <c r="G1861" s="4">
        <f t="shared" si="117"/>
        <v>6.6690346294767431E+81</v>
      </c>
      <c r="H1861" s="4">
        <f>SalaryFTECount*SalaryPerFTE*(1+SalaryGrowth)^1859</f>
        <v>9.7095041381163593E+36</v>
      </c>
      <c r="I1861" s="4">
        <f>SimOpsY1*(1+SimOpsGrowth)^1859</f>
        <v>4.0915014079452476E+66</v>
      </c>
      <c r="J1861" s="4">
        <f>TrainDevY1*(1+TrainDevGrowth)^1859</f>
        <v>2.0457507039726238E+66</v>
      </c>
      <c r="K1861" s="4">
        <f>AdminY1*(1+AdminGrowth)^1859</f>
        <v>2.2112279889268187E+51</v>
      </c>
      <c r="L1861" s="4">
        <f t="shared" si="118"/>
        <v>6.1372521119178733E+66</v>
      </c>
      <c r="M1861" s="4">
        <f t="shared" si="119"/>
        <v>6.6690346294767372E+81</v>
      </c>
    </row>
    <row r="1862" spans="1:13" x14ac:dyDescent="0.2">
      <c r="A1862" s="3">
        <f>StartYear+1860</f>
        <v>3885</v>
      </c>
      <c r="B1862" s="4">
        <f>FacultyFTE*HoursPerWeek*WeeksPerYear*RatePerHour*(1+PracticeGrowth)^1860</f>
        <v>7.4385580719152854E+44</v>
      </c>
      <c r="C1862" s="4">
        <f>StudentsY1*(1+StudentGrowth)^1860*CreditsPerStudent*TuitionPerCredit</f>
        <v>4.6490987949470532E+45</v>
      </c>
      <c r="D1862" s="4">
        <f>SimRevY1*(1+SimGrowth)^1860</f>
        <v>4.8906253949496102E+81</v>
      </c>
      <c r="E1862" s="4">
        <f>FacDevRevY1*(1+FacDevGrowth)^1860</f>
        <v>2.4453126974748051E+81</v>
      </c>
      <c r="F1862" s="4">
        <f t="shared" si="116"/>
        <v>7.3359380924244154E+81</v>
      </c>
      <c r="G1862" s="4">
        <f t="shared" si="117"/>
        <v>7.3359380924244154E+81</v>
      </c>
      <c r="H1862" s="4">
        <f>SalaryFTECount*SalaryPerFTE*(1+SalaryGrowth)^1860</f>
        <v>1.0097884303641015E+37</v>
      </c>
      <c r="I1862" s="4">
        <f>SimOpsY1*(1+SimOpsGrowth)^1860</f>
        <v>4.4188215205808677E+66</v>
      </c>
      <c r="J1862" s="4">
        <f>TrainDevY1*(1+TrainDevGrowth)^1860</f>
        <v>2.2094107602904339E+66</v>
      </c>
      <c r="K1862" s="4">
        <f>AdminY1*(1+AdminGrowth)^1860</f>
        <v>2.3439016682624284E+51</v>
      </c>
      <c r="L1862" s="4">
        <f t="shared" si="118"/>
        <v>6.6282322808713034E+66</v>
      </c>
      <c r="M1862" s="4">
        <f t="shared" si="119"/>
        <v>7.3359380924244086E+81</v>
      </c>
    </row>
    <row r="1863" spans="1:13" x14ac:dyDescent="0.2">
      <c r="A1863" s="3">
        <f>StartYear+1861</f>
        <v>3886</v>
      </c>
      <c r="B1863" s="4">
        <f>FacultyFTE*HoursPerWeek*WeeksPerYear*RatePerHour*(1+PracticeGrowth)^1861</f>
        <v>7.8104859755110508E+44</v>
      </c>
      <c r="C1863" s="4">
        <f>StudentsY1*(1+StudentGrowth)^1861*CreditsPerStudent*TuitionPerCredit</f>
        <v>4.8815537346944066E+45</v>
      </c>
      <c r="D1863" s="4">
        <f>SimRevY1*(1+SimGrowth)^1861</f>
        <v>5.3796879344445711E+81</v>
      </c>
      <c r="E1863" s="4">
        <f>FacDevRevY1*(1+FacDevGrowth)^1861</f>
        <v>2.6898439672222856E+81</v>
      </c>
      <c r="F1863" s="4">
        <f t="shared" si="116"/>
        <v>8.0695319016668567E+81</v>
      </c>
      <c r="G1863" s="4">
        <f t="shared" si="117"/>
        <v>8.0695319016668567E+81</v>
      </c>
      <c r="H1863" s="4">
        <f>SalaryFTECount*SalaryPerFTE*(1+SalaryGrowth)^1861</f>
        <v>1.0501799675786656E+37</v>
      </c>
      <c r="I1863" s="4">
        <f>SimOpsY1*(1+SimOpsGrowth)^1861</f>
        <v>4.7723272422273378E+66</v>
      </c>
      <c r="J1863" s="4">
        <f>TrainDevY1*(1+TrainDevGrowth)^1861</f>
        <v>2.3861636211136689E+66</v>
      </c>
      <c r="K1863" s="4">
        <f>AdminY1*(1+AdminGrowth)^1861</f>
        <v>2.4845357683581739E+51</v>
      </c>
      <c r="L1863" s="4">
        <f t="shared" si="118"/>
        <v>7.1584908633410093E+66</v>
      </c>
      <c r="M1863" s="4">
        <f t="shared" si="119"/>
        <v>8.0695319016668499E+81</v>
      </c>
    </row>
    <row r="1864" spans="1:13" x14ac:dyDescent="0.2">
      <c r="A1864" s="3">
        <f>StartYear+1862</f>
        <v>3887</v>
      </c>
      <c r="B1864" s="4">
        <f>FacultyFTE*HoursPerWeek*WeeksPerYear*RatePerHour*(1+PracticeGrowth)^1862</f>
        <v>8.2010102742866024E+44</v>
      </c>
      <c r="C1864" s="4">
        <f>StudentsY1*(1+StudentGrowth)^1862*CreditsPerStudent*TuitionPerCredit</f>
        <v>5.1256314214291263E+45</v>
      </c>
      <c r="D1864" s="4">
        <f>SimRevY1*(1+SimGrowth)^1862</f>
        <v>5.9176567278890301E+81</v>
      </c>
      <c r="E1864" s="4">
        <f>FacDevRevY1*(1+FacDevGrowth)^1862</f>
        <v>2.958828363944515E+81</v>
      </c>
      <c r="F1864" s="4">
        <f t="shared" si="116"/>
        <v>8.8764850918335455E+81</v>
      </c>
      <c r="G1864" s="4">
        <f t="shared" si="117"/>
        <v>8.8764850918335455E+81</v>
      </c>
      <c r="H1864" s="4">
        <f>SalaryFTECount*SalaryPerFTE*(1+SalaryGrowth)^1862</f>
        <v>1.0921871662818122E+37</v>
      </c>
      <c r="I1864" s="4">
        <f>SimOpsY1*(1+SimOpsGrowth)^1862</f>
        <v>5.1541134216055252E+66</v>
      </c>
      <c r="J1864" s="4">
        <f>TrainDevY1*(1+TrainDevGrowth)^1862</f>
        <v>2.5770567108027626E+66</v>
      </c>
      <c r="K1864" s="4">
        <f>AdminY1*(1+AdminGrowth)^1862</f>
        <v>2.6336079144596643E+51</v>
      </c>
      <c r="L1864" s="4">
        <f t="shared" si="118"/>
        <v>7.7311701324082911E+66</v>
      </c>
      <c r="M1864" s="4">
        <f t="shared" si="119"/>
        <v>8.8764850918335371E+81</v>
      </c>
    </row>
    <row r="1865" spans="1:13" x14ac:dyDescent="0.2">
      <c r="A1865" s="3">
        <f>StartYear+1863</f>
        <v>3888</v>
      </c>
      <c r="B1865" s="4">
        <f>FacultyFTE*HoursPerWeek*WeeksPerYear*RatePerHour*(1+PracticeGrowth)^1863</f>
        <v>8.6110607880009327E+44</v>
      </c>
      <c r="C1865" s="4">
        <f>StudentsY1*(1+StudentGrowth)^1863*CreditsPerStudent*TuitionPerCredit</f>
        <v>5.3819129925005837E+45</v>
      </c>
      <c r="D1865" s="4">
        <f>SimRevY1*(1+SimGrowth)^1863</f>
        <v>6.5094224006779345E+81</v>
      </c>
      <c r="E1865" s="4">
        <f>FacDevRevY1*(1+FacDevGrowth)^1863</f>
        <v>3.2547112003389673E+81</v>
      </c>
      <c r="F1865" s="4">
        <f t="shared" si="116"/>
        <v>9.7641336010169018E+81</v>
      </c>
      <c r="G1865" s="4">
        <f t="shared" si="117"/>
        <v>9.7641336010169018E+81</v>
      </c>
      <c r="H1865" s="4">
        <f>SalaryFTECount*SalaryPerFTE*(1+SalaryGrowth)^1863</f>
        <v>1.1358746529330847E+37</v>
      </c>
      <c r="I1865" s="4">
        <f>SimOpsY1*(1+SimOpsGrowth)^1863</f>
        <v>5.5664424953339668E+66</v>
      </c>
      <c r="J1865" s="4">
        <f>TrainDevY1*(1+TrainDevGrowth)^1863</f>
        <v>2.7832212476669834E+66</v>
      </c>
      <c r="K1865" s="4">
        <f>AdminY1*(1+AdminGrowth)^1863</f>
        <v>2.7916243893272449E+51</v>
      </c>
      <c r="L1865" s="4">
        <f t="shared" si="118"/>
        <v>8.3496637430009533E+66</v>
      </c>
      <c r="M1865" s="4">
        <f t="shared" si="119"/>
        <v>9.7641336010168933E+81</v>
      </c>
    </row>
    <row r="1866" spans="1:13" x14ac:dyDescent="0.2">
      <c r="A1866" s="3">
        <f>StartYear+1864</f>
        <v>3889</v>
      </c>
      <c r="B1866" s="4">
        <f>FacultyFTE*HoursPerWeek*WeeksPerYear*RatePerHour*(1+PracticeGrowth)^1864</f>
        <v>9.0416138274009793E+44</v>
      </c>
      <c r="C1866" s="4">
        <f>StudentsY1*(1+StudentGrowth)^1864*CreditsPerStudent*TuitionPerCredit</f>
        <v>5.651008642125612E+45</v>
      </c>
      <c r="D1866" s="4">
        <f>SimRevY1*(1+SimGrowth)^1864</f>
        <v>7.1603646407457259E+81</v>
      </c>
      <c r="E1866" s="4">
        <f>FacDevRevY1*(1+FacDevGrowth)^1864</f>
        <v>3.580182320372863E+81</v>
      </c>
      <c r="F1866" s="4">
        <f t="shared" si="116"/>
        <v>1.0740546961118589E+82</v>
      </c>
      <c r="G1866" s="4">
        <f t="shared" si="117"/>
        <v>1.0740546961118589E+82</v>
      </c>
      <c r="H1866" s="4">
        <f>SalaryFTECount*SalaryPerFTE*(1+SalaryGrowth)^1864</f>
        <v>1.181309639050408E+37</v>
      </c>
      <c r="I1866" s="4">
        <f>SimOpsY1*(1+SimOpsGrowth)^1864</f>
        <v>6.0117578949606844E+66</v>
      </c>
      <c r="J1866" s="4">
        <f>TrainDevY1*(1+TrainDevGrowth)^1864</f>
        <v>3.0058789474803422E+66</v>
      </c>
      <c r="K1866" s="4">
        <f>AdminY1*(1+AdminGrowth)^1864</f>
        <v>2.9591218526868786E+51</v>
      </c>
      <c r="L1866" s="4">
        <f t="shared" si="118"/>
        <v>9.0176368424410292E+66</v>
      </c>
      <c r="M1866" s="4">
        <f t="shared" si="119"/>
        <v>1.074054696111858E+82</v>
      </c>
    </row>
    <row r="1867" spans="1:13" x14ac:dyDescent="0.2">
      <c r="A1867" s="3">
        <f>StartYear+1865</f>
        <v>3890</v>
      </c>
      <c r="B1867" s="4">
        <f>FacultyFTE*HoursPerWeek*WeeksPerYear*RatePerHour*(1+PracticeGrowth)^1865</f>
        <v>9.4936945187710265E+44</v>
      </c>
      <c r="C1867" s="4">
        <f>StudentsY1*(1+StudentGrowth)^1865*CreditsPerStudent*TuitionPerCredit</f>
        <v>5.9335590742318919E+45</v>
      </c>
      <c r="D1867" s="4">
        <f>SimRevY1*(1+SimGrowth)^1865</f>
        <v>7.8764011048202995E+81</v>
      </c>
      <c r="E1867" s="4">
        <f>FacDevRevY1*(1+FacDevGrowth)^1865</f>
        <v>3.9382005524101498E+81</v>
      </c>
      <c r="F1867" s="4">
        <f t="shared" si="116"/>
        <v>1.181460165723045E+82</v>
      </c>
      <c r="G1867" s="4">
        <f t="shared" si="117"/>
        <v>1.181460165723045E+82</v>
      </c>
      <c r="H1867" s="4">
        <f>SalaryFTECount*SalaryPerFTE*(1+SalaryGrowth)^1865</f>
        <v>1.2285620246124247E+37</v>
      </c>
      <c r="I1867" s="4">
        <f>SimOpsY1*(1+SimOpsGrowth)^1865</f>
        <v>6.492698526557541E+66</v>
      </c>
      <c r="J1867" s="4">
        <f>TrainDevY1*(1+TrainDevGrowth)^1865</f>
        <v>3.2463492632787705E+66</v>
      </c>
      <c r="K1867" s="4">
        <f>AdminY1*(1+AdminGrowth)^1865</f>
        <v>3.1366691638480918E+51</v>
      </c>
      <c r="L1867" s="4">
        <f t="shared" si="118"/>
        <v>9.7390477898363145E+66</v>
      </c>
      <c r="M1867" s="4">
        <f t="shared" si="119"/>
        <v>1.181460165723044E+82</v>
      </c>
    </row>
    <row r="1868" spans="1:13" x14ac:dyDescent="0.2">
      <c r="A1868" s="3">
        <f>StartYear+1866</f>
        <v>3891</v>
      </c>
      <c r="B1868" s="4">
        <f>FacultyFTE*HoursPerWeek*WeeksPerYear*RatePerHour*(1+PracticeGrowth)^1866</f>
        <v>9.9683792447095797E+44</v>
      </c>
      <c r="C1868" s="4">
        <f>StudentsY1*(1+StudentGrowth)^1866*CreditsPerStudent*TuitionPerCredit</f>
        <v>6.2302370279434878E+45</v>
      </c>
      <c r="D1868" s="4">
        <f>SimRevY1*(1+SimGrowth)^1866</f>
        <v>8.6640412153023303E+81</v>
      </c>
      <c r="E1868" s="4">
        <f>FacDevRevY1*(1+FacDevGrowth)^1866</f>
        <v>4.3320206076511652E+81</v>
      </c>
      <c r="F1868" s="4">
        <f t="shared" si="116"/>
        <v>1.2996061822953496E+82</v>
      </c>
      <c r="G1868" s="4">
        <f t="shared" si="117"/>
        <v>1.2996061822953496E+82</v>
      </c>
      <c r="H1868" s="4">
        <f>SalaryFTECount*SalaryPerFTE*(1+SalaryGrowth)^1866</f>
        <v>1.2777045055969216E+37</v>
      </c>
      <c r="I1868" s="4">
        <f>SimOpsY1*(1+SimOpsGrowth)^1866</f>
        <v>7.0121144086821446E+66</v>
      </c>
      <c r="J1868" s="4">
        <f>TrainDevY1*(1+TrainDevGrowth)^1866</f>
        <v>3.5060572043410723E+66</v>
      </c>
      <c r="K1868" s="4">
        <f>AdminY1*(1+AdminGrowth)^1866</f>
        <v>3.3248693136789773E+51</v>
      </c>
      <c r="L1868" s="4">
        <f t="shared" si="118"/>
        <v>1.051817161302322E+67</v>
      </c>
      <c r="M1868" s="4">
        <f t="shared" si="119"/>
        <v>1.2996061822953485E+82</v>
      </c>
    </row>
    <row r="1869" spans="1:13" x14ac:dyDescent="0.2">
      <c r="A1869" s="3">
        <f>StartYear+1867</f>
        <v>3892</v>
      </c>
      <c r="B1869" s="4">
        <f>FacultyFTE*HoursPerWeek*WeeksPerYear*RatePerHour*(1+PracticeGrowth)^1867</f>
        <v>1.0466798206945059E+45</v>
      </c>
      <c r="C1869" s="4">
        <f>StudentsY1*(1+StudentGrowth)^1867*CreditsPerStudent*TuitionPerCredit</f>
        <v>6.5417488793406618E+45</v>
      </c>
      <c r="D1869" s="4">
        <f>SimRevY1*(1+SimGrowth)^1867</f>
        <v>9.530445336832564E+81</v>
      </c>
      <c r="E1869" s="4">
        <f>FacDevRevY1*(1+FacDevGrowth)^1867</f>
        <v>4.765222668416282E+81</v>
      </c>
      <c r="F1869" s="4">
        <f t="shared" si="116"/>
        <v>1.4295668005248846E+82</v>
      </c>
      <c r="G1869" s="4">
        <f t="shared" si="117"/>
        <v>1.4295668005248846E+82</v>
      </c>
      <c r="H1869" s="4">
        <f>SalaryFTECount*SalaryPerFTE*(1+SalaryGrowth)^1867</f>
        <v>1.3288126858207983E+37</v>
      </c>
      <c r="I1869" s="4">
        <f>SimOpsY1*(1+SimOpsGrowth)^1867</f>
        <v>7.5730835613767149E+66</v>
      </c>
      <c r="J1869" s="4">
        <f>TrainDevY1*(1+TrainDevGrowth)^1867</f>
        <v>3.7865417806883575E+66</v>
      </c>
      <c r="K1869" s="4">
        <f>AdminY1*(1+AdminGrowth)^1867</f>
        <v>3.5243614724997168E+51</v>
      </c>
      <c r="L1869" s="4">
        <f t="shared" si="118"/>
        <v>1.1359625342065075E+67</v>
      </c>
      <c r="M1869" s="4">
        <f t="shared" si="119"/>
        <v>1.4295668005248834E+82</v>
      </c>
    </row>
    <row r="1870" spans="1:13" x14ac:dyDescent="0.2">
      <c r="A1870" s="3">
        <f>StartYear+1868</f>
        <v>3893</v>
      </c>
      <c r="B1870" s="4">
        <f>FacultyFTE*HoursPerWeek*WeeksPerYear*RatePerHour*(1+PracticeGrowth)^1868</f>
        <v>1.0990138117292309E+45</v>
      </c>
      <c r="C1870" s="4">
        <f>StudentsY1*(1+StudentGrowth)^1868*CreditsPerStudent*TuitionPerCredit</f>
        <v>6.868836323307694E+45</v>
      </c>
      <c r="D1870" s="4">
        <f>SimRevY1*(1+SimGrowth)^1868</f>
        <v>1.0483489870515821E+82</v>
      </c>
      <c r="E1870" s="4">
        <f>FacDevRevY1*(1+FacDevGrowth)^1868</f>
        <v>5.2417449352579106E+81</v>
      </c>
      <c r="F1870" s="4">
        <f t="shared" si="116"/>
        <v>1.5725234805773733E+82</v>
      </c>
      <c r="G1870" s="4">
        <f t="shared" si="117"/>
        <v>1.5725234805773733E+82</v>
      </c>
      <c r="H1870" s="4">
        <f>SalaryFTECount*SalaryPerFTE*(1+SalaryGrowth)^1868</f>
        <v>1.3819651932536305E+37</v>
      </c>
      <c r="I1870" s="4">
        <f>SimOpsY1*(1+SimOpsGrowth)^1868</f>
        <v>8.1789302462868519E+66</v>
      </c>
      <c r="J1870" s="4">
        <f>TrainDevY1*(1+TrainDevGrowth)^1868</f>
        <v>4.0894651231434259E+66</v>
      </c>
      <c r="K1870" s="4">
        <f>AdminY1*(1+AdminGrowth)^1868</f>
        <v>3.7358231608496994E+51</v>
      </c>
      <c r="L1870" s="4">
        <f t="shared" si="118"/>
        <v>1.2268395369430281E+67</v>
      </c>
      <c r="M1870" s="4">
        <f t="shared" si="119"/>
        <v>1.572523480577372E+82</v>
      </c>
    </row>
    <row r="1871" spans="1:13" x14ac:dyDescent="0.2">
      <c r="A1871" s="3">
        <f>StartYear+1869</f>
        <v>3894</v>
      </c>
      <c r="B1871" s="4">
        <f>FacultyFTE*HoursPerWeek*WeeksPerYear*RatePerHour*(1+PracticeGrowth)^1869</f>
        <v>1.1539645023156931E+45</v>
      </c>
      <c r="C1871" s="4">
        <f>StudentsY1*(1+StudentGrowth)^1869*CreditsPerStudent*TuitionPerCredit</f>
        <v>7.2122781394730803E+45</v>
      </c>
      <c r="D1871" s="4">
        <f>SimRevY1*(1+SimGrowth)^1869</f>
        <v>1.1531838857567405E+82</v>
      </c>
      <c r="E1871" s="4">
        <f>FacDevRevY1*(1+FacDevGrowth)^1869</f>
        <v>5.7659194287837025E+81</v>
      </c>
      <c r="F1871" s="4">
        <f t="shared" si="116"/>
        <v>1.7297758286351107E+82</v>
      </c>
      <c r="G1871" s="4">
        <f t="shared" si="117"/>
        <v>1.7297758286351107E+82</v>
      </c>
      <c r="H1871" s="4">
        <f>SalaryFTECount*SalaryPerFTE*(1+SalaryGrowth)^1869</f>
        <v>1.4372438009837759E+37</v>
      </c>
      <c r="I1871" s="4">
        <f>SimOpsY1*(1+SimOpsGrowth)^1869</f>
        <v>8.833244665989801E+66</v>
      </c>
      <c r="J1871" s="4">
        <f>TrainDevY1*(1+TrainDevGrowth)^1869</f>
        <v>4.4166223329949005E+66</v>
      </c>
      <c r="K1871" s="4">
        <f>AdminY1*(1+AdminGrowth)^1869</f>
        <v>3.959972550500682E+51</v>
      </c>
      <c r="L1871" s="4">
        <f t="shared" si="118"/>
        <v>1.3249866998984706E+67</v>
      </c>
      <c r="M1871" s="4">
        <f t="shared" si="119"/>
        <v>1.7297758286351094E+82</v>
      </c>
    </row>
    <row r="1872" spans="1:13" x14ac:dyDescent="0.2">
      <c r="A1872" s="3">
        <f>StartYear+1870</f>
        <v>3895</v>
      </c>
      <c r="B1872" s="4">
        <f>FacultyFTE*HoursPerWeek*WeeksPerYear*RatePerHour*(1+PracticeGrowth)^1870</f>
        <v>1.2116627274314771E+45</v>
      </c>
      <c r="C1872" s="4">
        <f>StudentsY1*(1+StudentGrowth)^1870*CreditsPerStudent*TuitionPerCredit</f>
        <v>7.5728920464467325E+45</v>
      </c>
      <c r="D1872" s="4">
        <f>SimRevY1*(1+SimGrowth)^1870</f>
        <v>1.2685022743324148E+82</v>
      </c>
      <c r="E1872" s="4">
        <f>FacDevRevY1*(1+FacDevGrowth)^1870</f>
        <v>6.3425113716620739E+81</v>
      </c>
      <c r="F1872" s="4">
        <f t="shared" si="116"/>
        <v>1.9027534114986222E+82</v>
      </c>
      <c r="G1872" s="4">
        <f t="shared" si="117"/>
        <v>1.9027534114986222E+82</v>
      </c>
      <c r="H1872" s="4">
        <f>SalaryFTECount*SalaryPerFTE*(1+SalaryGrowth)^1870</f>
        <v>1.4947335530231269E+37</v>
      </c>
      <c r="I1872" s="4">
        <f>SimOpsY1*(1+SimOpsGrowth)^1870</f>
        <v>9.5399042392689876E+66</v>
      </c>
      <c r="J1872" s="4">
        <f>TrainDevY1*(1+TrainDevGrowth)^1870</f>
        <v>4.7699521196344938E+66</v>
      </c>
      <c r="K1872" s="4">
        <f>AdminY1*(1+AdminGrowth)^1870</f>
        <v>4.1975709035307232E+51</v>
      </c>
      <c r="L1872" s="4">
        <f t="shared" si="118"/>
        <v>1.4309856358903484E+67</v>
      </c>
      <c r="M1872" s="4">
        <f t="shared" si="119"/>
        <v>1.9027534114986209E+82</v>
      </c>
    </row>
    <row r="1873" spans="1:13" x14ac:dyDescent="0.2">
      <c r="A1873" s="3">
        <f>StartYear+1871</f>
        <v>3896</v>
      </c>
      <c r="B1873" s="4">
        <f>FacultyFTE*HoursPerWeek*WeeksPerYear*RatePerHour*(1+PracticeGrowth)^1871</f>
        <v>1.2722458638030514E+45</v>
      </c>
      <c r="C1873" s="4">
        <f>StudentsY1*(1+StudentGrowth)^1871*CreditsPerStudent*TuitionPerCredit</f>
        <v>7.9515366487690723E+45</v>
      </c>
      <c r="D1873" s="4">
        <f>SimRevY1*(1+SimGrowth)^1871</f>
        <v>1.3953525017656561E+82</v>
      </c>
      <c r="E1873" s="4">
        <f>FacDevRevY1*(1+FacDevGrowth)^1871</f>
        <v>6.9767625088282803E+81</v>
      </c>
      <c r="F1873" s="4">
        <f t="shared" si="116"/>
        <v>2.0930287526484841E+82</v>
      </c>
      <c r="G1873" s="4">
        <f t="shared" si="117"/>
        <v>2.0930287526484841E+82</v>
      </c>
      <c r="H1873" s="4">
        <f>SalaryFTECount*SalaryPerFTE*(1+SalaryGrowth)^1871</f>
        <v>1.5545228951440519E+37</v>
      </c>
      <c r="I1873" s="4">
        <f>SimOpsY1*(1+SimOpsGrowth)^1871</f>
        <v>1.0303096578410507E+67</v>
      </c>
      <c r="J1873" s="4">
        <f>TrainDevY1*(1+TrainDevGrowth)^1871</f>
        <v>5.1515482892052536E+66</v>
      </c>
      <c r="K1873" s="4">
        <f>AdminY1*(1+AdminGrowth)^1871</f>
        <v>4.4494251577425684E+51</v>
      </c>
      <c r="L1873" s="4">
        <f t="shared" si="118"/>
        <v>1.5454644867615764E+67</v>
      </c>
      <c r="M1873" s="4">
        <f t="shared" si="119"/>
        <v>2.0930287526484824E+82</v>
      </c>
    </row>
    <row r="1874" spans="1:13" x14ac:dyDescent="0.2">
      <c r="A1874" s="3">
        <f>StartYear+1872</f>
        <v>3897</v>
      </c>
      <c r="B1874" s="4">
        <f>FacultyFTE*HoursPerWeek*WeeksPerYear*RatePerHour*(1+PracticeGrowth)^1872</f>
        <v>1.3358581569932041E+45</v>
      </c>
      <c r="C1874" s="4">
        <f>StudentsY1*(1+StudentGrowth)^1872*CreditsPerStudent*TuitionPerCredit</f>
        <v>8.3491134812075246E+45</v>
      </c>
      <c r="D1874" s="4">
        <f>SimRevY1*(1+SimGrowth)^1872</f>
        <v>1.5348877519422219E+82</v>
      </c>
      <c r="E1874" s="4">
        <f>FacDevRevY1*(1+FacDevGrowth)^1872</f>
        <v>7.6744387597111097E+81</v>
      </c>
      <c r="F1874" s="4">
        <f t="shared" si="116"/>
        <v>2.3023316279133327E+82</v>
      </c>
      <c r="G1874" s="4">
        <f t="shared" si="117"/>
        <v>2.3023316279133327E+82</v>
      </c>
      <c r="H1874" s="4">
        <f>SalaryFTECount*SalaryPerFTE*(1+SalaryGrowth)^1872</f>
        <v>1.6167038109498145E+37</v>
      </c>
      <c r="I1874" s="4">
        <f>SimOpsY1*(1+SimOpsGrowth)^1872</f>
        <v>1.1127344304683345E+67</v>
      </c>
      <c r="J1874" s="4">
        <f>TrainDevY1*(1+TrainDevGrowth)^1872</f>
        <v>5.5636721523416723E+66</v>
      </c>
      <c r="K1874" s="4">
        <f>AdminY1*(1+AdminGrowth)^1872</f>
        <v>4.7163906672071206E+51</v>
      </c>
      <c r="L1874" s="4">
        <f t="shared" si="118"/>
        <v>1.6691016457025023E+67</v>
      </c>
      <c r="M1874" s="4">
        <f t="shared" si="119"/>
        <v>2.3023316279133311E+82</v>
      </c>
    </row>
    <row r="1875" spans="1:13" x14ac:dyDescent="0.2">
      <c r="A1875" s="3">
        <f>StartYear+1873</f>
        <v>3898</v>
      </c>
      <c r="B1875" s="4">
        <f>FacultyFTE*HoursPerWeek*WeeksPerYear*RatePerHour*(1+PracticeGrowth)^1873</f>
        <v>1.4026510648428642E+45</v>
      </c>
      <c r="C1875" s="4">
        <f>StudentsY1*(1+StudentGrowth)^1873*CreditsPerStudent*TuitionPerCredit</f>
        <v>8.7665691552679033E+45</v>
      </c>
      <c r="D1875" s="4">
        <f>SimRevY1*(1+SimGrowth)^1873</f>
        <v>1.6883765271364437E+82</v>
      </c>
      <c r="E1875" s="4">
        <f>FacDevRevY1*(1+FacDevGrowth)^1873</f>
        <v>8.4418826356822185E+81</v>
      </c>
      <c r="F1875" s="4">
        <f t="shared" si="116"/>
        <v>2.5325647907046656E+82</v>
      </c>
      <c r="G1875" s="4">
        <f t="shared" si="117"/>
        <v>2.5325647907046656E+82</v>
      </c>
      <c r="H1875" s="4">
        <f>SalaryFTECount*SalaryPerFTE*(1+SalaryGrowth)^1873</f>
        <v>1.6813719633878066E+37</v>
      </c>
      <c r="I1875" s="4">
        <f>SimOpsY1*(1+SimOpsGrowth)^1873</f>
        <v>1.2017531849058013E+67</v>
      </c>
      <c r="J1875" s="4">
        <f>TrainDevY1*(1+TrainDevGrowth)^1873</f>
        <v>6.0087659245290065E+66</v>
      </c>
      <c r="K1875" s="4">
        <f>AdminY1*(1+AdminGrowth)^1873</f>
        <v>4.9993741072395485E+51</v>
      </c>
      <c r="L1875" s="4">
        <f t="shared" si="118"/>
        <v>1.8026297773587026E+67</v>
      </c>
      <c r="M1875" s="4">
        <f t="shared" si="119"/>
        <v>2.5325647907046639E+82</v>
      </c>
    </row>
    <row r="1876" spans="1:13" x14ac:dyDescent="0.2">
      <c r="A1876" s="3">
        <f>StartYear+1874</f>
        <v>3899</v>
      </c>
      <c r="B1876" s="4">
        <f>FacultyFTE*HoursPerWeek*WeeksPerYear*RatePerHour*(1+PracticeGrowth)^1874</f>
        <v>1.4727836180850076E+45</v>
      </c>
      <c r="C1876" s="4">
        <f>StudentsY1*(1+StudentGrowth)^1874*CreditsPerStudent*TuitionPerCredit</f>
        <v>9.2048976130312985E+45</v>
      </c>
      <c r="D1876" s="4">
        <f>SimRevY1*(1+SimGrowth)^1874</f>
        <v>1.8572141798500883E+82</v>
      </c>
      <c r="E1876" s="4">
        <f>FacDevRevY1*(1+FacDevGrowth)^1874</f>
        <v>9.2860708992504417E+81</v>
      </c>
      <c r="F1876" s="4">
        <f t="shared" si="116"/>
        <v>2.7858212697751325E+82</v>
      </c>
      <c r="G1876" s="4">
        <f t="shared" si="117"/>
        <v>2.7858212697751325E+82</v>
      </c>
      <c r="H1876" s="4">
        <f>SalaryFTECount*SalaryPerFTE*(1+SalaryGrowth)^1874</f>
        <v>1.7486268419233194E+37</v>
      </c>
      <c r="I1876" s="4">
        <f>SimOpsY1*(1+SimOpsGrowth)^1874</f>
        <v>1.2978934396982656E+67</v>
      </c>
      <c r="J1876" s="4">
        <f>TrainDevY1*(1+TrainDevGrowth)^1874</f>
        <v>6.4894671984913282E+66</v>
      </c>
      <c r="K1876" s="4">
        <f>AdminY1*(1+AdminGrowth)^1874</f>
        <v>5.2993365536739213E+51</v>
      </c>
      <c r="L1876" s="4">
        <f t="shared" si="118"/>
        <v>1.9468401595473991E+67</v>
      </c>
      <c r="M1876" s="4">
        <f t="shared" si="119"/>
        <v>2.7858212697751305E+82</v>
      </c>
    </row>
    <row r="1877" spans="1:13" x14ac:dyDescent="0.2">
      <c r="A1877" s="3">
        <f>StartYear+1875</f>
        <v>3900</v>
      </c>
      <c r="B1877" s="4">
        <f>FacultyFTE*HoursPerWeek*WeeksPerYear*RatePerHour*(1+PracticeGrowth)^1875</f>
        <v>1.5464227989892579E+45</v>
      </c>
      <c r="C1877" s="4">
        <f>StudentsY1*(1+StudentGrowth)^1875*CreditsPerStudent*TuitionPerCredit</f>
        <v>9.6651424936828609E+45</v>
      </c>
      <c r="D1877" s="4">
        <f>SimRevY1*(1+SimGrowth)^1875</f>
        <v>2.0429355978350984E+82</v>
      </c>
      <c r="E1877" s="4">
        <f>FacDevRevY1*(1+FacDevGrowth)^1875</f>
        <v>1.0214677989175492E+82</v>
      </c>
      <c r="F1877" s="4">
        <f t="shared" si="116"/>
        <v>3.0644033967526478E+82</v>
      </c>
      <c r="G1877" s="4">
        <f t="shared" si="117"/>
        <v>3.0644033967526478E+82</v>
      </c>
      <c r="H1877" s="4">
        <f>SalaryFTECount*SalaryPerFTE*(1+SalaryGrowth)^1875</f>
        <v>1.8185719156002518E+37</v>
      </c>
      <c r="I1877" s="4">
        <f>SimOpsY1*(1+SimOpsGrowth)^1875</f>
        <v>1.401724914874127E+67</v>
      </c>
      <c r="J1877" s="4">
        <f>TrainDevY1*(1+TrainDevGrowth)^1875</f>
        <v>7.0086245743706349E+66</v>
      </c>
      <c r="K1877" s="4">
        <f>AdminY1*(1+AdminGrowth)^1875</f>
        <v>5.6172967468943564E+51</v>
      </c>
      <c r="L1877" s="4">
        <f t="shared" si="118"/>
        <v>2.1025873723111911E+67</v>
      </c>
      <c r="M1877" s="4">
        <f t="shared" si="119"/>
        <v>3.0644033967526457E+82</v>
      </c>
    </row>
    <row r="1878" spans="1:13" x14ac:dyDescent="0.2">
      <c r="A1878" s="3">
        <f>StartYear+1876</f>
        <v>3901</v>
      </c>
      <c r="B1878" s="4">
        <f>FacultyFTE*HoursPerWeek*WeeksPerYear*RatePerHour*(1+PracticeGrowth)^1876</f>
        <v>1.6237439389387207E+45</v>
      </c>
      <c r="C1878" s="4">
        <f>StudentsY1*(1+StudentGrowth)^1876*CreditsPerStudent*TuitionPerCredit</f>
        <v>1.0148399618367003E+46</v>
      </c>
      <c r="D1878" s="4">
        <f>SimRevY1*(1+SimGrowth)^1876</f>
        <v>2.2472291576186074E+82</v>
      </c>
      <c r="E1878" s="4">
        <f>FacDevRevY1*(1+FacDevGrowth)^1876</f>
        <v>1.1236145788093037E+82</v>
      </c>
      <c r="F1878" s="4">
        <f t="shared" si="116"/>
        <v>3.3708437364279112E+82</v>
      </c>
      <c r="G1878" s="4">
        <f t="shared" si="117"/>
        <v>3.3708437364279112E+82</v>
      </c>
      <c r="H1878" s="4">
        <f>SalaryFTECount*SalaryPerFTE*(1+SalaryGrowth)^1876</f>
        <v>1.8913147922242623E+37</v>
      </c>
      <c r="I1878" s="4">
        <f>SimOpsY1*(1+SimOpsGrowth)^1876</f>
        <v>1.5138629080640573E+67</v>
      </c>
      <c r="J1878" s="4">
        <f>TrainDevY1*(1+TrainDevGrowth)^1876</f>
        <v>7.5693145403202866E+66</v>
      </c>
      <c r="K1878" s="4">
        <f>AdminY1*(1+AdminGrowth)^1876</f>
        <v>5.9543345517080179E+51</v>
      </c>
      <c r="L1878" s="4">
        <f t="shared" si="118"/>
        <v>2.2707943620960866E+67</v>
      </c>
      <c r="M1878" s="4">
        <f t="shared" si="119"/>
        <v>3.3708437364279092E+82</v>
      </c>
    </row>
    <row r="1879" spans="1:13" x14ac:dyDescent="0.2">
      <c r="A1879" s="3">
        <f>StartYear+1877</f>
        <v>3902</v>
      </c>
      <c r="B1879" s="4">
        <f>FacultyFTE*HoursPerWeek*WeeksPerYear*RatePerHour*(1+PracticeGrowth)^1877</f>
        <v>1.7049311358856567E+45</v>
      </c>
      <c r="C1879" s="4">
        <f>StudentsY1*(1+StudentGrowth)^1877*CreditsPerStudent*TuitionPerCredit</f>
        <v>1.0655819599285354E+46</v>
      </c>
      <c r="D1879" s="4">
        <f>SimRevY1*(1+SimGrowth)^1877</f>
        <v>2.4719520733804684E+82</v>
      </c>
      <c r="E1879" s="4">
        <f>FacDevRevY1*(1+FacDevGrowth)^1877</f>
        <v>1.2359760366902342E+82</v>
      </c>
      <c r="F1879" s="4">
        <f t="shared" si="116"/>
        <v>3.7079281100707023E+82</v>
      </c>
      <c r="G1879" s="4">
        <f t="shared" si="117"/>
        <v>3.7079281100707023E+82</v>
      </c>
      <c r="H1879" s="4">
        <f>SalaryFTECount*SalaryPerFTE*(1+SalaryGrowth)^1877</f>
        <v>1.966967383913233E+37</v>
      </c>
      <c r="I1879" s="4">
        <f>SimOpsY1*(1+SimOpsGrowth)^1877</f>
        <v>1.634971940709182E+67</v>
      </c>
      <c r="J1879" s="4">
        <f>TrainDevY1*(1+TrainDevGrowth)^1877</f>
        <v>8.1748597035459098E+66</v>
      </c>
      <c r="K1879" s="4">
        <f>AdminY1*(1+AdminGrowth)^1877</f>
        <v>6.3115946248105012E+51</v>
      </c>
      <c r="L1879" s="4">
        <f t="shared" si="118"/>
        <v>2.4524579110637735E+67</v>
      </c>
      <c r="M1879" s="4">
        <f t="shared" si="119"/>
        <v>3.7079281100706996E+82</v>
      </c>
    </row>
    <row r="1880" spans="1:13" x14ac:dyDescent="0.2">
      <c r="A1880" s="3">
        <f>StartYear+1878</f>
        <v>3903</v>
      </c>
      <c r="B1880" s="4">
        <f>FacultyFTE*HoursPerWeek*WeeksPerYear*RatePerHour*(1+PracticeGrowth)^1878</f>
        <v>1.7901776926799394E+45</v>
      </c>
      <c r="C1880" s="4">
        <f>StudentsY1*(1+StudentGrowth)^1878*CreditsPerStudent*TuitionPerCredit</f>
        <v>1.1188610579249622E+46</v>
      </c>
      <c r="D1880" s="4">
        <f>SimRevY1*(1+SimGrowth)^1878</f>
        <v>2.7191472807185154E+82</v>
      </c>
      <c r="E1880" s="4">
        <f>FacDevRevY1*(1+FacDevGrowth)^1878</f>
        <v>1.3595736403592577E+82</v>
      </c>
      <c r="F1880" s="4">
        <f t="shared" si="116"/>
        <v>4.0787209210777729E+82</v>
      </c>
      <c r="G1880" s="4">
        <f t="shared" si="117"/>
        <v>4.0787209210777729E+82</v>
      </c>
      <c r="H1880" s="4">
        <f>SalaryFTECount*SalaryPerFTE*(1+SalaryGrowth)^1878</f>
        <v>2.0456460792697625E+37</v>
      </c>
      <c r="I1880" s="4">
        <f>SimOpsY1*(1+SimOpsGrowth)^1878</f>
        <v>1.7657696959659168E+67</v>
      </c>
      <c r="J1880" s="4">
        <f>TrainDevY1*(1+TrainDevGrowth)^1878</f>
        <v>8.8288484798295839E+66</v>
      </c>
      <c r="K1880" s="4">
        <f>AdminY1*(1+AdminGrowth)^1878</f>
        <v>6.6902903022991309E+51</v>
      </c>
      <c r="L1880" s="4">
        <f t="shared" si="118"/>
        <v>2.6486545439488758E+67</v>
      </c>
      <c r="M1880" s="4">
        <f t="shared" si="119"/>
        <v>4.0787209210777702E+82</v>
      </c>
    </row>
    <row r="1881" spans="1:13" x14ac:dyDescent="0.2">
      <c r="A1881" s="3">
        <f>StartYear+1879</f>
        <v>3904</v>
      </c>
      <c r="B1881" s="4">
        <f>FacultyFTE*HoursPerWeek*WeeksPerYear*RatePerHour*(1+PracticeGrowth)^1879</f>
        <v>1.8796865773139367E+45</v>
      </c>
      <c r="C1881" s="4">
        <f>StudentsY1*(1+StudentGrowth)^1879*CreditsPerStudent*TuitionPerCredit</f>
        <v>1.1748041108212105E+46</v>
      </c>
      <c r="D1881" s="4">
        <f>SimRevY1*(1+SimGrowth)^1879</f>
        <v>2.9910620087903668E+82</v>
      </c>
      <c r="E1881" s="4">
        <f>FacDevRevY1*(1+FacDevGrowth)^1879</f>
        <v>1.4955310043951834E+82</v>
      </c>
      <c r="F1881" s="4">
        <f t="shared" si="116"/>
        <v>4.4865930131855505E+82</v>
      </c>
      <c r="G1881" s="4">
        <f t="shared" si="117"/>
        <v>4.4865930131855505E+82</v>
      </c>
      <c r="H1881" s="4">
        <f>SalaryFTECount*SalaryPerFTE*(1+SalaryGrowth)^1879</f>
        <v>2.1274719224405527E+37</v>
      </c>
      <c r="I1881" s="4">
        <f>SimOpsY1*(1+SimOpsGrowth)^1879</f>
        <v>1.9070312716431899E+67</v>
      </c>
      <c r="J1881" s="4">
        <f>TrainDevY1*(1+TrainDevGrowth)^1879</f>
        <v>9.5351563582159494E+66</v>
      </c>
      <c r="K1881" s="4">
        <f>AdminY1*(1+AdminGrowth)^1879</f>
        <v>7.0917077204370794E+51</v>
      </c>
      <c r="L1881" s="4">
        <f t="shared" si="118"/>
        <v>2.8605469074647851E+67</v>
      </c>
      <c r="M1881" s="4">
        <f t="shared" si="119"/>
        <v>4.4865930131855478E+82</v>
      </c>
    </row>
    <row r="1882" spans="1:13" x14ac:dyDescent="0.2">
      <c r="A1882" s="3">
        <f>StartYear+1880</f>
        <v>3905</v>
      </c>
      <c r="B1882" s="4">
        <f>FacultyFTE*HoursPerWeek*WeeksPerYear*RatePerHour*(1+PracticeGrowth)^1880</f>
        <v>1.9736709061796334E+45</v>
      </c>
      <c r="C1882" s="4">
        <f>StudentsY1*(1+StudentGrowth)^1880*CreditsPerStudent*TuitionPerCredit</f>
        <v>1.2335443163622709E+46</v>
      </c>
      <c r="D1882" s="4">
        <f>SimRevY1*(1+SimGrowth)^1880</f>
        <v>3.2901682096694034E+82</v>
      </c>
      <c r="E1882" s="4">
        <f>FacDevRevY1*(1+FacDevGrowth)^1880</f>
        <v>1.6450841048347017E+82</v>
      </c>
      <c r="F1882" s="4">
        <f t="shared" si="116"/>
        <v>4.9352523145041054E+82</v>
      </c>
      <c r="G1882" s="4">
        <f t="shared" si="117"/>
        <v>4.9352523145041054E+82</v>
      </c>
      <c r="H1882" s="4">
        <f>SalaryFTECount*SalaryPerFTE*(1+SalaryGrowth)^1880</f>
        <v>2.2125707993381746E+37</v>
      </c>
      <c r="I1882" s="4">
        <f>SimOpsY1*(1+SimOpsGrowth)^1880</f>
        <v>2.059593773374645E+67</v>
      </c>
      <c r="J1882" s="4">
        <f>TrainDevY1*(1+TrainDevGrowth)^1880</f>
        <v>1.0297968866873225E+67</v>
      </c>
      <c r="K1882" s="4">
        <f>AdminY1*(1+AdminGrowth)^1880</f>
        <v>7.5172101836633042E+51</v>
      </c>
      <c r="L1882" s="4">
        <f t="shared" si="118"/>
        <v>3.0893906600619678E+67</v>
      </c>
      <c r="M1882" s="4">
        <f t="shared" si="119"/>
        <v>4.935252314504102E+82</v>
      </c>
    </row>
    <row r="1883" spans="1:13" x14ac:dyDescent="0.2">
      <c r="A1883" s="3">
        <f>StartYear+1881</f>
        <v>3906</v>
      </c>
      <c r="B1883" s="4">
        <f>FacultyFTE*HoursPerWeek*WeeksPerYear*RatePerHour*(1+PracticeGrowth)^1881</f>
        <v>2.072354451488615E+45</v>
      </c>
      <c r="C1883" s="4">
        <f>StudentsY1*(1+StudentGrowth)^1881*CreditsPerStudent*TuitionPerCredit</f>
        <v>1.2952215321803845E+46</v>
      </c>
      <c r="D1883" s="4">
        <f>SimRevY1*(1+SimGrowth)^1881</f>
        <v>3.6191850306363451E+82</v>
      </c>
      <c r="E1883" s="4">
        <f>FacDevRevY1*(1+FacDevGrowth)^1881</f>
        <v>1.8095925153181726E+82</v>
      </c>
      <c r="F1883" s="4">
        <f t="shared" si="116"/>
        <v>5.4287775459545177E+82</v>
      </c>
      <c r="G1883" s="4">
        <f t="shared" si="117"/>
        <v>5.4287775459545177E+82</v>
      </c>
      <c r="H1883" s="4">
        <f>SalaryFTECount*SalaryPerFTE*(1+SalaryGrowth)^1881</f>
        <v>2.3010736313117022E+37</v>
      </c>
      <c r="I1883" s="4">
        <f>SimOpsY1*(1+SimOpsGrowth)^1881</f>
        <v>2.2243612752446177E+67</v>
      </c>
      <c r="J1883" s="4">
        <f>TrainDevY1*(1+TrainDevGrowth)^1881</f>
        <v>1.1121806376223088E+67</v>
      </c>
      <c r="K1883" s="4">
        <f>AdminY1*(1+AdminGrowth)^1881</f>
        <v>7.9682427946831019E+51</v>
      </c>
      <c r="L1883" s="4">
        <f t="shared" si="118"/>
        <v>3.336541912866927E+67</v>
      </c>
      <c r="M1883" s="4">
        <f t="shared" si="119"/>
        <v>5.4287775459545143E+82</v>
      </c>
    </row>
    <row r="1884" spans="1:13" x14ac:dyDescent="0.2">
      <c r="A1884" s="3">
        <f>StartYear+1882</f>
        <v>3907</v>
      </c>
      <c r="B1884" s="4">
        <f>FacultyFTE*HoursPerWeek*WeeksPerYear*RatePerHour*(1+PracticeGrowth)^1882</f>
        <v>2.175972174063046E+45</v>
      </c>
      <c r="C1884" s="4">
        <f>StudentsY1*(1+StudentGrowth)^1882*CreditsPerStudent*TuitionPerCredit</f>
        <v>1.3599826087894035E+46</v>
      </c>
      <c r="D1884" s="4">
        <f>SimRevY1*(1+SimGrowth)^1882</f>
        <v>3.981103533699979E+82</v>
      </c>
      <c r="E1884" s="4">
        <f>FacDevRevY1*(1+FacDevGrowth)^1882</f>
        <v>1.9905517668499895E+82</v>
      </c>
      <c r="F1884" s="4">
        <f t="shared" si="116"/>
        <v>5.9716553005499685E+82</v>
      </c>
      <c r="G1884" s="4">
        <f t="shared" si="117"/>
        <v>5.9716553005499685E+82</v>
      </c>
      <c r="H1884" s="4">
        <f>SalaryFTECount*SalaryPerFTE*(1+SalaryGrowth)^1882</f>
        <v>2.39311657656417E+37</v>
      </c>
      <c r="I1884" s="4">
        <f>SimOpsY1*(1+SimOpsGrowth)^1882</f>
        <v>2.4023101772641869E+67</v>
      </c>
      <c r="J1884" s="4">
        <f>TrainDevY1*(1+TrainDevGrowth)^1882</f>
        <v>1.2011550886320934E+67</v>
      </c>
      <c r="K1884" s="4">
        <f>AdminY1*(1+AdminGrowth)^1882</f>
        <v>8.4463373623640897E+51</v>
      </c>
      <c r="L1884" s="4">
        <f t="shared" si="118"/>
        <v>3.6034652658962808E+67</v>
      </c>
      <c r="M1884" s="4">
        <f t="shared" si="119"/>
        <v>5.9716553005499651E+82</v>
      </c>
    </row>
    <row r="1885" spans="1:13" x14ac:dyDescent="0.2">
      <c r="A1885" s="3">
        <f>StartYear+1883</f>
        <v>3908</v>
      </c>
      <c r="B1885" s="4">
        <f>FacultyFTE*HoursPerWeek*WeeksPerYear*RatePerHour*(1+PracticeGrowth)^1883</f>
        <v>2.284770782766199E+45</v>
      </c>
      <c r="C1885" s="4">
        <f>StudentsY1*(1+StudentGrowth)^1883*CreditsPerStudent*TuitionPerCredit</f>
        <v>1.4279817392288743E+46</v>
      </c>
      <c r="D1885" s="4">
        <f>SimRevY1*(1+SimGrowth)^1883</f>
        <v>4.3792138870699778E+82</v>
      </c>
      <c r="E1885" s="4">
        <f>FacDevRevY1*(1+FacDevGrowth)^1883</f>
        <v>2.1896069435349889E+82</v>
      </c>
      <c r="F1885" s="4">
        <f t="shared" si="116"/>
        <v>6.5688208306049671E+82</v>
      </c>
      <c r="G1885" s="4">
        <f t="shared" si="117"/>
        <v>6.5688208306049671E+82</v>
      </c>
      <c r="H1885" s="4">
        <f>SalaryFTECount*SalaryPerFTE*(1+SalaryGrowth)^1883</f>
        <v>2.4888412396267372E+37</v>
      </c>
      <c r="I1885" s="4">
        <f>SimOpsY1*(1+SimOpsGrowth)^1883</f>
        <v>2.5944949914453214E+67</v>
      </c>
      <c r="J1885" s="4">
        <f>TrainDevY1*(1+TrainDevGrowth)^1883</f>
        <v>1.2972474957226607E+67</v>
      </c>
      <c r="K1885" s="4">
        <f>AdminY1*(1+AdminGrowth)^1883</f>
        <v>8.9531176041059349E+51</v>
      </c>
      <c r="L1885" s="4">
        <f t="shared" si="118"/>
        <v>3.8917424871679824E+67</v>
      </c>
      <c r="M1885" s="4">
        <f t="shared" si="119"/>
        <v>6.568820830604963E+82</v>
      </c>
    </row>
    <row r="1886" spans="1:13" x14ac:dyDescent="0.2">
      <c r="A1886" s="3">
        <f>StartYear+1884</f>
        <v>3909</v>
      </c>
      <c r="B1886" s="4">
        <f>FacultyFTE*HoursPerWeek*WeeksPerYear*RatePerHour*(1+PracticeGrowth)^1884</f>
        <v>2.3990093219045078E+45</v>
      </c>
      <c r="C1886" s="4">
        <f>StudentsY1*(1+StudentGrowth)^1884*CreditsPerStudent*TuitionPerCredit</f>
        <v>1.4993808261903172E+46</v>
      </c>
      <c r="D1886" s="4">
        <f>SimRevY1*(1+SimGrowth)^1884</f>
        <v>4.8171352757769754E+82</v>
      </c>
      <c r="E1886" s="4">
        <f>FacDevRevY1*(1+FacDevGrowth)^1884</f>
        <v>2.4085676378884877E+82</v>
      </c>
      <c r="F1886" s="4">
        <f t="shared" si="116"/>
        <v>7.2257029136654638E+82</v>
      </c>
      <c r="G1886" s="4">
        <f t="shared" si="117"/>
        <v>7.2257029136654638E+82</v>
      </c>
      <c r="H1886" s="4">
        <f>SalaryFTECount*SalaryPerFTE*(1+SalaryGrowth)^1884</f>
        <v>2.5883948892118071E+37</v>
      </c>
      <c r="I1886" s="4">
        <f>SimOpsY1*(1+SimOpsGrowth)^1884</f>
        <v>2.8020545907609468E+67</v>
      </c>
      <c r="J1886" s="4">
        <f>TrainDevY1*(1+TrainDevGrowth)^1884</f>
        <v>1.4010272953804734E+67</v>
      </c>
      <c r="K1886" s="4">
        <f>AdminY1*(1+AdminGrowth)^1884</f>
        <v>9.4903046603522904E+51</v>
      </c>
      <c r="L1886" s="4">
        <f t="shared" si="118"/>
        <v>4.2030818861414212E+67</v>
      </c>
      <c r="M1886" s="4">
        <f t="shared" si="119"/>
        <v>7.2257029136654597E+82</v>
      </c>
    </row>
    <row r="1887" spans="1:13" x14ac:dyDescent="0.2">
      <c r="A1887" s="3">
        <f>StartYear+1885</f>
        <v>3910</v>
      </c>
      <c r="B1887" s="4">
        <f>FacultyFTE*HoursPerWeek*WeeksPerYear*RatePerHour*(1+PracticeGrowth)^1885</f>
        <v>2.5189597879997338E+45</v>
      </c>
      <c r="C1887" s="4">
        <f>StudentsY1*(1+StudentGrowth)^1885*CreditsPerStudent*TuitionPerCredit</f>
        <v>1.5743498674998334E+46</v>
      </c>
      <c r="D1887" s="4">
        <f>SimRevY1*(1+SimGrowth)^1885</f>
        <v>5.2988488033546742E+82</v>
      </c>
      <c r="E1887" s="4">
        <f>FacDevRevY1*(1+FacDevGrowth)^1885</f>
        <v>2.6494244016773371E+82</v>
      </c>
      <c r="F1887" s="4">
        <f t="shared" si="116"/>
        <v>7.9482732050320112E+82</v>
      </c>
      <c r="G1887" s="4">
        <f t="shared" si="117"/>
        <v>7.9482732050320112E+82</v>
      </c>
      <c r="H1887" s="4">
        <f>SalaryFTECount*SalaryPerFTE*(1+SalaryGrowth)^1885</f>
        <v>2.6919306847802792E+37</v>
      </c>
      <c r="I1887" s="4">
        <f>SimOpsY1*(1+SimOpsGrowth)^1885</f>
        <v>3.0262189580218229E+67</v>
      </c>
      <c r="J1887" s="4">
        <f>TrainDevY1*(1+TrainDevGrowth)^1885</f>
        <v>1.5131094790109115E+67</v>
      </c>
      <c r="K1887" s="4">
        <f>AdminY1*(1+AdminGrowth)^1885</f>
        <v>1.0059722939973429E+52</v>
      </c>
      <c r="L1887" s="4">
        <f t="shared" si="118"/>
        <v>4.5393284370327356E+67</v>
      </c>
      <c r="M1887" s="4">
        <f t="shared" si="119"/>
        <v>7.9482732050320072E+82</v>
      </c>
    </row>
    <row r="1888" spans="1:13" x14ac:dyDescent="0.2">
      <c r="A1888" s="3">
        <f>StartYear+1886</f>
        <v>3911</v>
      </c>
      <c r="B1888" s="4">
        <f>FacultyFTE*HoursPerWeek*WeeksPerYear*RatePerHour*(1+PracticeGrowth)^1886</f>
        <v>2.6449077773997194E+45</v>
      </c>
      <c r="C1888" s="4">
        <f>StudentsY1*(1+StudentGrowth)^1886*CreditsPerStudent*TuitionPerCredit</f>
        <v>1.6530673608748247E+46</v>
      </c>
      <c r="D1888" s="4">
        <f>SimRevY1*(1+SimGrowth)^1886</f>
        <v>5.8287336836901418E+82</v>
      </c>
      <c r="E1888" s="4">
        <f>FacDevRevY1*(1+FacDevGrowth)^1886</f>
        <v>2.9143668418450709E+82</v>
      </c>
      <c r="F1888" s="4">
        <f t="shared" si="116"/>
        <v>8.7431005255352134E+82</v>
      </c>
      <c r="G1888" s="4">
        <f t="shared" si="117"/>
        <v>8.7431005255352134E+82</v>
      </c>
      <c r="H1888" s="4">
        <f>SalaryFTECount*SalaryPerFTE*(1+SalaryGrowth)^1886</f>
        <v>2.7996079121714905E+37</v>
      </c>
      <c r="I1888" s="4">
        <f>SimOpsY1*(1+SimOpsGrowth)^1886</f>
        <v>3.2683164746635699E+67</v>
      </c>
      <c r="J1888" s="4">
        <f>TrainDevY1*(1+TrainDevGrowth)^1886</f>
        <v>1.6341582373317849E+67</v>
      </c>
      <c r="K1888" s="4">
        <f>AdminY1*(1+AdminGrowth)^1886</f>
        <v>1.0663306316371836E+52</v>
      </c>
      <c r="L1888" s="4">
        <f t="shared" si="118"/>
        <v>4.9024747119953563E+67</v>
      </c>
      <c r="M1888" s="4">
        <f t="shared" si="119"/>
        <v>8.743100525535208E+82</v>
      </c>
    </row>
    <row r="1889" spans="1:13" x14ac:dyDescent="0.2">
      <c r="A1889" s="3">
        <f>StartYear+1887</f>
        <v>3912</v>
      </c>
      <c r="B1889" s="4">
        <f>FacultyFTE*HoursPerWeek*WeeksPerYear*RatePerHour*(1+PracticeGrowth)^1887</f>
        <v>2.7771531662697068E+45</v>
      </c>
      <c r="C1889" s="4">
        <f>StudentsY1*(1+StudentGrowth)^1887*CreditsPerStudent*TuitionPerCredit</f>
        <v>1.7357207289185667E+46</v>
      </c>
      <c r="D1889" s="4">
        <f>SimRevY1*(1+SimGrowth)^1887</f>
        <v>6.411607052059158E+82</v>
      </c>
      <c r="E1889" s="4">
        <f>FacDevRevY1*(1+FacDevGrowth)^1887</f>
        <v>3.205803526029579E+82</v>
      </c>
      <c r="F1889" s="4">
        <f t="shared" si="116"/>
        <v>9.6174105780887364E+82</v>
      </c>
      <c r="G1889" s="4">
        <f t="shared" si="117"/>
        <v>9.6174105780887364E+82</v>
      </c>
      <c r="H1889" s="4">
        <f>SalaryFTECount*SalaryPerFTE*(1+SalaryGrowth)^1887</f>
        <v>2.9115922286583498E+37</v>
      </c>
      <c r="I1889" s="4">
        <f>SimOpsY1*(1+SimOpsGrowth)^1887</f>
        <v>3.5297817926366554E+67</v>
      </c>
      <c r="J1889" s="4">
        <f>TrainDevY1*(1+TrainDevGrowth)^1887</f>
        <v>1.7648908963183277E+67</v>
      </c>
      <c r="K1889" s="4">
        <f>AdminY1*(1+AdminGrowth)^1887</f>
        <v>1.130310469535415E+52</v>
      </c>
      <c r="L1889" s="4">
        <f t="shared" si="118"/>
        <v>5.2946726889549839E+67</v>
      </c>
      <c r="M1889" s="4">
        <f t="shared" si="119"/>
        <v>9.617410578088731E+82</v>
      </c>
    </row>
    <row r="1890" spans="1:13" x14ac:dyDescent="0.2">
      <c r="A1890" s="3">
        <f>StartYear+1888</f>
        <v>3913</v>
      </c>
      <c r="B1890" s="4">
        <f>FacultyFTE*HoursPerWeek*WeeksPerYear*RatePerHour*(1+PracticeGrowth)^1888</f>
        <v>2.9160108245831921E+45</v>
      </c>
      <c r="C1890" s="4">
        <f>StudentsY1*(1+StudentGrowth)^1888*CreditsPerStudent*TuitionPerCredit</f>
        <v>1.8225067653644951E+46</v>
      </c>
      <c r="D1890" s="4">
        <f>SimRevY1*(1+SimGrowth)^1888</f>
        <v>7.0527677572650718E+82</v>
      </c>
      <c r="E1890" s="4">
        <f>FacDevRevY1*(1+FacDevGrowth)^1888</f>
        <v>3.5263838786325359E+82</v>
      </c>
      <c r="F1890" s="4">
        <f t="shared" si="116"/>
        <v>1.0579151635897607E+83</v>
      </c>
      <c r="G1890" s="4">
        <f t="shared" si="117"/>
        <v>1.0579151635897607E+83</v>
      </c>
      <c r="H1890" s="4">
        <f>SalaryFTECount*SalaryPerFTE*(1+SalaryGrowth)^1888</f>
        <v>3.0280559178046843E+37</v>
      </c>
      <c r="I1890" s="4">
        <f>SimOpsY1*(1+SimOpsGrowth)^1888</f>
        <v>3.8121643360475878E+67</v>
      </c>
      <c r="J1890" s="4">
        <f>TrainDevY1*(1+TrainDevGrowth)^1888</f>
        <v>1.9060821680237939E+67</v>
      </c>
      <c r="K1890" s="4">
        <f>AdminY1*(1+AdminGrowth)^1888</f>
        <v>1.1981290977075397E+52</v>
      </c>
      <c r="L1890" s="4">
        <f t="shared" si="118"/>
        <v>5.7182465040713828E+67</v>
      </c>
      <c r="M1890" s="4">
        <f t="shared" si="119"/>
        <v>1.0579151635897602E+83</v>
      </c>
    </row>
    <row r="1891" spans="1:13" x14ac:dyDescent="0.2">
      <c r="A1891" s="3">
        <f>StartYear+1889</f>
        <v>3914</v>
      </c>
      <c r="B1891" s="4">
        <f>FacultyFTE*HoursPerWeek*WeeksPerYear*RatePerHour*(1+PracticeGrowth)^1889</f>
        <v>3.0618113658123513E+45</v>
      </c>
      <c r="C1891" s="4">
        <f>StudentsY1*(1+StudentGrowth)^1889*CreditsPerStudent*TuitionPerCredit</f>
        <v>1.9136321036327198E+46</v>
      </c>
      <c r="D1891" s="4">
        <f>SimRevY1*(1+SimGrowth)^1889</f>
        <v>7.7580445329915794E+82</v>
      </c>
      <c r="E1891" s="4">
        <f>FacDevRevY1*(1+FacDevGrowth)^1889</f>
        <v>3.8790222664957897E+82</v>
      </c>
      <c r="F1891" s="4">
        <f t="shared" si="116"/>
        <v>1.1637066799487369E+83</v>
      </c>
      <c r="G1891" s="4">
        <f t="shared" si="117"/>
        <v>1.1637066799487369E+83</v>
      </c>
      <c r="H1891" s="4">
        <f>SalaryFTECount*SalaryPerFTE*(1+SalaryGrowth)^1889</f>
        <v>3.1491781545168714E+37</v>
      </c>
      <c r="I1891" s="4">
        <f>SimOpsY1*(1+SimOpsGrowth)^1889</f>
        <v>4.1171374829313948E+67</v>
      </c>
      <c r="J1891" s="4">
        <f>TrainDevY1*(1+TrainDevGrowth)^1889</f>
        <v>2.0585687414656974E+67</v>
      </c>
      <c r="K1891" s="4">
        <f>AdminY1*(1+AdminGrowth)^1889</f>
        <v>1.2700168435699918E+52</v>
      </c>
      <c r="L1891" s="4">
        <f t="shared" si="118"/>
        <v>6.1757062243970928E+67</v>
      </c>
      <c r="M1891" s="4">
        <f t="shared" si="119"/>
        <v>1.1637066799487362E+83</v>
      </c>
    </row>
    <row r="1892" spans="1:13" x14ac:dyDescent="0.2">
      <c r="A1892" s="3">
        <f>StartYear+1890</f>
        <v>3915</v>
      </c>
      <c r="B1892" s="4">
        <f>FacultyFTE*HoursPerWeek*WeeksPerYear*RatePerHour*(1+PracticeGrowth)^1890</f>
        <v>3.2149019341029699E+45</v>
      </c>
      <c r="C1892" s="4">
        <f>StudentsY1*(1+StudentGrowth)^1890*CreditsPerStudent*TuitionPerCredit</f>
        <v>2.009313708814356E+46</v>
      </c>
      <c r="D1892" s="4">
        <f>SimRevY1*(1+SimGrowth)^1890</f>
        <v>8.533848986290739E+82</v>
      </c>
      <c r="E1892" s="4">
        <f>FacDevRevY1*(1+FacDevGrowth)^1890</f>
        <v>4.2669244931453695E+82</v>
      </c>
      <c r="F1892" s="4">
        <f t="shared" si="116"/>
        <v>1.2800773479436109E+83</v>
      </c>
      <c r="G1892" s="4">
        <f t="shared" si="117"/>
        <v>1.2800773479436109E+83</v>
      </c>
      <c r="H1892" s="4">
        <f>SalaryFTECount*SalaryPerFTE*(1+SalaryGrowth)^1890</f>
        <v>3.275145280697547E+37</v>
      </c>
      <c r="I1892" s="4">
        <f>SimOpsY1*(1+SimOpsGrowth)^1890</f>
        <v>4.4465084815659064E+67</v>
      </c>
      <c r="J1892" s="4">
        <f>TrainDevY1*(1+TrainDevGrowth)^1890</f>
        <v>2.2232542407829532E+67</v>
      </c>
      <c r="K1892" s="4">
        <f>AdminY1*(1+AdminGrowth)^1890</f>
        <v>1.3462178541841915E+52</v>
      </c>
      <c r="L1892" s="4">
        <f t="shared" si="118"/>
        <v>6.6697627223488607E+67</v>
      </c>
      <c r="M1892" s="4">
        <f t="shared" si="119"/>
        <v>1.2800773479436104E+83</v>
      </c>
    </row>
    <row r="1893" spans="1:13" x14ac:dyDescent="0.2">
      <c r="A1893" s="3">
        <f>StartYear+1891</f>
        <v>3916</v>
      </c>
      <c r="B1893" s="4">
        <f>FacultyFTE*HoursPerWeek*WeeksPerYear*RatePerHour*(1+PracticeGrowth)^1891</f>
        <v>3.3756470308081178E+45</v>
      </c>
      <c r="C1893" s="4">
        <f>StudentsY1*(1+StudentGrowth)^1891*CreditsPerStudent*TuitionPerCredit</f>
        <v>2.109779394255074E+46</v>
      </c>
      <c r="D1893" s="4">
        <f>SimRevY1*(1+SimGrowth)^1891</f>
        <v>9.3872338849198135E+82</v>
      </c>
      <c r="E1893" s="4">
        <f>FacDevRevY1*(1+FacDevGrowth)^1891</f>
        <v>4.6936169424599068E+82</v>
      </c>
      <c r="F1893" s="4">
        <f t="shared" si="116"/>
        <v>1.4080850827379719E+83</v>
      </c>
      <c r="G1893" s="4">
        <f t="shared" si="117"/>
        <v>1.4080850827379719E+83</v>
      </c>
      <c r="H1893" s="4">
        <f>SalaryFTECount*SalaryPerFTE*(1+SalaryGrowth)^1891</f>
        <v>3.4061510919254486E+37</v>
      </c>
      <c r="I1893" s="4">
        <f>SimOpsY1*(1+SimOpsGrowth)^1891</f>
        <v>4.8022291600911792E+67</v>
      </c>
      <c r="J1893" s="4">
        <f>TrainDevY1*(1+TrainDevGrowth)^1891</f>
        <v>2.4011145800455896E+67</v>
      </c>
      <c r="K1893" s="4">
        <f>AdminY1*(1+AdminGrowth)^1891</f>
        <v>1.4269909254352433E+52</v>
      </c>
      <c r="L1893" s="4">
        <f t="shared" si="118"/>
        <v>7.2033437401367694E+67</v>
      </c>
      <c r="M1893" s="4">
        <f t="shared" si="119"/>
        <v>1.4080850827379711E+83</v>
      </c>
    </row>
    <row r="1894" spans="1:13" x14ac:dyDescent="0.2">
      <c r="A1894" s="3">
        <f>StartYear+1892</f>
        <v>3917</v>
      </c>
      <c r="B1894" s="4">
        <f>FacultyFTE*HoursPerWeek*WeeksPerYear*RatePerHour*(1+PracticeGrowth)^1892</f>
        <v>3.5444293823485235E+45</v>
      </c>
      <c r="C1894" s="4">
        <f>StudentsY1*(1+StudentGrowth)^1892*CreditsPerStudent*TuitionPerCredit</f>
        <v>2.2152683639678272E+46</v>
      </c>
      <c r="D1894" s="4">
        <f>SimRevY1*(1+SimGrowth)^1892</f>
        <v>1.0325957273411795E+83</v>
      </c>
      <c r="E1894" s="4">
        <f>FacDevRevY1*(1+FacDevGrowth)^1892</f>
        <v>5.1629786367058975E+82</v>
      </c>
      <c r="F1894" s="4">
        <f t="shared" si="116"/>
        <v>1.5488935910117693E+83</v>
      </c>
      <c r="G1894" s="4">
        <f t="shared" si="117"/>
        <v>1.5488935910117693E+83</v>
      </c>
      <c r="H1894" s="4">
        <f>SalaryFTECount*SalaryPerFTE*(1+SalaryGrowth)^1892</f>
        <v>3.5423971356024662E+37</v>
      </c>
      <c r="I1894" s="4">
        <f>SimOpsY1*(1+SimOpsGrowth)^1892</f>
        <v>5.1864074928984745E+67</v>
      </c>
      <c r="J1894" s="4">
        <f>TrainDevY1*(1+TrainDevGrowth)^1892</f>
        <v>2.5932037464492372E+67</v>
      </c>
      <c r="K1894" s="4">
        <f>AdminY1*(1+AdminGrowth)^1892</f>
        <v>1.5126103809613579E+52</v>
      </c>
      <c r="L1894" s="4">
        <f t="shared" si="118"/>
        <v>7.7796112393477132E+67</v>
      </c>
      <c r="M1894" s="4">
        <f t="shared" si="119"/>
        <v>1.5488935910117685E+83</v>
      </c>
    </row>
    <row r="1895" spans="1:13" x14ac:dyDescent="0.2">
      <c r="A1895" s="3">
        <f>StartYear+1893</f>
        <v>3918</v>
      </c>
      <c r="B1895" s="4">
        <f>FacultyFTE*HoursPerWeek*WeeksPerYear*RatePerHour*(1+PracticeGrowth)^1893</f>
        <v>3.7216508514659504E+45</v>
      </c>
      <c r="C1895" s="4">
        <f>StudentsY1*(1+StudentGrowth)^1893*CreditsPerStudent*TuitionPerCredit</f>
        <v>2.3260317821662189E+46</v>
      </c>
      <c r="D1895" s="4">
        <f>SimRevY1*(1+SimGrowth)^1893</f>
        <v>1.1358553000752975E+83</v>
      </c>
      <c r="E1895" s="4">
        <f>FacDevRevY1*(1+FacDevGrowth)^1893</f>
        <v>5.6792765003764873E+82</v>
      </c>
      <c r="F1895" s="4">
        <f t="shared" si="116"/>
        <v>1.7037829501129462E+83</v>
      </c>
      <c r="G1895" s="4">
        <f t="shared" si="117"/>
        <v>1.7037829501129462E+83</v>
      </c>
      <c r="H1895" s="4">
        <f>SalaryFTECount*SalaryPerFTE*(1+SalaryGrowth)^1893</f>
        <v>3.6840930210265669E+37</v>
      </c>
      <c r="I1895" s="4">
        <f>SimOpsY1*(1+SimOpsGrowth)^1893</f>
        <v>5.6013200923303512E+67</v>
      </c>
      <c r="J1895" s="4">
        <f>TrainDevY1*(1+TrainDevGrowth)^1893</f>
        <v>2.8006600461651756E+67</v>
      </c>
      <c r="K1895" s="4">
        <f>AdminY1*(1+AdminGrowth)^1893</f>
        <v>1.6033670038190393E+52</v>
      </c>
      <c r="L1895" s="4">
        <f t="shared" si="118"/>
        <v>8.4019801384955274E+67</v>
      </c>
      <c r="M1895" s="4">
        <f t="shared" si="119"/>
        <v>1.7037829501129454E+83</v>
      </c>
    </row>
    <row r="1896" spans="1:13" x14ac:dyDescent="0.2">
      <c r="A1896" s="3">
        <f>StartYear+1894</f>
        <v>3919</v>
      </c>
      <c r="B1896" s="4">
        <f>FacultyFTE*HoursPerWeek*WeeksPerYear*RatePerHour*(1+PracticeGrowth)^1894</f>
        <v>3.9077333940392467E+45</v>
      </c>
      <c r="C1896" s="4">
        <f>StudentsY1*(1+StudentGrowth)^1894*CreditsPerStudent*TuitionPerCredit</f>
        <v>2.4423333712745289E+46</v>
      </c>
      <c r="D1896" s="4">
        <f>SimRevY1*(1+SimGrowth)^1894</f>
        <v>1.2494408300828275E+83</v>
      </c>
      <c r="E1896" s="4">
        <f>FacDevRevY1*(1+FacDevGrowth)^1894</f>
        <v>6.2472041504141373E+82</v>
      </c>
      <c r="F1896" s="4">
        <f t="shared" si="116"/>
        <v>1.8741612451242413E+83</v>
      </c>
      <c r="G1896" s="4">
        <f t="shared" si="117"/>
        <v>1.8741612451242413E+83</v>
      </c>
      <c r="H1896" s="4">
        <f>SalaryFTECount*SalaryPerFTE*(1+SalaryGrowth)^1894</f>
        <v>3.831456741867628E+37</v>
      </c>
      <c r="I1896" s="4">
        <f>SimOpsY1*(1+SimOpsGrowth)^1894</f>
        <v>6.0494256997167804E+67</v>
      </c>
      <c r="J1896" s="4">
        <f>TrainDevY1*(1+TrainDevGrowth)^1894</f>
        <v>3.0247128498583902E+67</v>
      </c>
      <c r="K1896" s="4">
        <f>AdminY1*(1+AdminGrowth)^1894</f>
        <v>1.6995690240481818E+52</v>
      </c>
      <c r="L1896" s="4">
        <f t="shared" si="118"/>
        <v>9.0741385495751724E+67</v>
      </c>
      <c r="M1896" s="4">
        <f t="shared" si="119"/>
        <v>1.8741612451242405E+83</v>
      </c>
    </row>
    <row r="1897" spans="1:13" x14ac:dyDescent="0.2">
      <c r="A1897" s="3">
        <f>StartYear+1895</f>
        <v>3920</v>
      </c>
      <c r="B1897" s="4">
        <f>FacultyFTE*HoursPerWeek*WeeksPerYear*RatePerHour*(1+PracticeGrowth)^1895</f>
        <v>4.1031200637412099E+45</v>
      </c>
      <c r="C1897" s="4">
        <f>StudentsY1*(1+StudentGrowth)^1895*CreditsPerStudent*TuitionPerCredit</f>
        <v>2.564450039838256E+46</v>
      </c>
      <c r="D1897" s="4">
        <f>SimRevY1*(1+SimGrowth)^1895</f>
        <v>1.3743849130911105E+83</v>
      </c>
      <c r="E1897" s="4">
        <f>FacDevRevY1*(1+FacDevGrowth)^1895</f>
        <v>6.8719245654555523E+82</v>
      </c>
      <c r="F1897" s="4">
        <f t="shared" si="116"/>
        <v>2.0615773696366657E+83</v>
      </c>
      <c r="G1897" s="4">
        <f t="shared" si="117"/>
        <v>2.0615773696366657E+83</v>
      </c>
      <c r="H1897" s="4">
        <f>SalaryFTECount*SalaryPerFTE*(1+SalaryGrowth)^1895</f>
        <v>3.9847150115423333E+37</v>
      </c>
      <c r="I1897" s="4">
        <f>SimOpsY1*(1+SimOpsGrowth)^1895</f>
        <v>6.5333797556941229E+67</v>
      </c>
      <c r="J1897" s="4">
        <f>TrainDevY1*(1+TrainDevGrowth)^1895</f>
        <v>3.2666898778470614E+67</v>
      </c>
      <c r="K1897" s="4">
        <f>AdminY1*(1+AdminGrowth)^1895</f>
        <v>1.8015431654910733E+52</v>
      </c>
      <c r="L1897" s="4">
        <f t="shared" si="118"/>
        <v>9.8000696335411867E+67</v>
      </c>
      <c r="M1897" s="4">
        <f t="shared" si="119"/>
        <v>2.0615773696366646E+83</v>
      </c>
    </row>
    <row r="1898" spans="1:13" x14ac:dyDescent="0.2">
      <c r="A1898" s="3">
        <f>StartYear+1896</f>
        <v>3921</v>
      </c>
      <c r="B1898" s="4">
        <f>FacultyFTE*HoursPerWeek*WeeksPerYear*RatePerHour*(1+PracticeGrowth)^1896</f>
        <v>4.30827606692827E+45</v>
      </c>
      <c r="C1898" s="4">
        <f>StudentsY1*(1+StudentGrowth)^1896*CreditsPerStudent*TuitionPerCredit</f>
        <v>2.6926725418301691E+46</v>
      </c>
      <c r="D1898" s="4">
        <f>SimRevY1*(1+SimGrowth)^1896</f>
        <v>1.5118234044002214E+83</v>
      </c>
      <c r="E1898" s="4">
        <f>FacDevRevY1*(1+FacDevGrowth)^1896</f>
        <v>7.559117022001107E+82</v>
      </c>
      <c r="F1898" s="4">
        <f t="shared" si="116"/>
        <v>2.2677351066003321E+83</v>
      </c>
      <c r="G1898" s="4">
        <f t="shared" si="117"/>
        <v>2.2677351066003321E+83</v>
      </c>
      <c r="H1898" s="4">
        <f>SalaryFTECount*SalaryPerFTE*(1+SalaryGrowth)^1896</f>
        <v>4.1441036120040278E+37</v>
      </c>
      <c r="I1898" s="4">
        <f>SimOpsY1*(1+SimOpsGrowth)^1896</f>
        <v>7.0560501361496533E+67</v>
      </c>
      <c r="J1898" s="4">
        <f>TrainDevY1*(1+TrainDevGrowth)^1896</f>
        <v>3.5280250680748266E+67</v>
      </c>
      <c r="K1898" s="4">
        <f>AdminY1*(1+AdminGrowth)^1896</f>
        <v>1.9096357554205371E+52</v>
      </c>
      <c r="L1898" s="4">
        <f t="shared" si="118"/>
        <v>1.0584075204224482E+68</v>
      </c>
      <c r="M1898" s="4">
        <f t="shared" si="119"/>
        <v>2.267735106600331E+83</v>
      </c>
    </row>
    <row r="1899" spans="1:13" x14ac:dyDescent="0.2">
      <c r="A1899" s="3">
        <f>StartYear+1897</f>
        <v>3922</v>
      </c>
      <c r="B1899" s="4">
        <f>FacultyFTE*HoursPerWeek*WeeksPerYear*RatePerHour*(1+PracticeGrowth)^1897</f>
        <v>4.5236898702746831E+45</v>
      </c>
      <c r="C1899" s="4">
        <f>StudentsY1*(1+StudentGrowth)^1897*CreditsPerStudent*TuitionPerCredit</f>
        <v>2.8273061689216767E+46</v>
      </c>
      <c r="D1899" s="4">
        <f>SimRevY1*(1+SimGrowth)^1897</f>
        <v>1.6630057448402436E+83</v>
      </c>
      <c r="E1899" s="4">
        <f>FacDevRevY1*(1+FacDevGrowth)^1897</f>
        <v>8.3150287242012179E+82</v>
      </c>
      <c r="F1899" s="4">
        <f t="shared" si="116"/>
        <v>2.4945086172603654E+83</v>
      </c>
      <c r="G1899" s="4">
        <f t="shared" si="117"/>
        <v>2.4945086172603654E+83</v>
      </c>
      <c r="H1899" s="4">
        <f>SalaryFTECount*SalaryPerFTE*(1+SalaryGrowth)^1897</f>
        <v>4.3098677564841888E+37</v>
      </c>
      <c r="I1899" s="4">
        <f>SimOpsY1*(1+SimOpsGrowth)^1897</f>
        <v>7.6205341470416259E+67</v>
      </c>
      <c r="J1899" s="4">
        <f>TrainDevY1*(1+TrainDevGrowth)^1897</f>
        <v>3.810267073520813E+67</v>
      </c>
      <c r="K1899" s="4">
        <f>AdminY1*(1+AdminGrowth)^1897</f>
        <v>2.0242139007457696E+52</v>
      </c>
      <c r="L1899" s="4">
        <f t="shared" si="118"/>
        <v>1.143080122056244E+68</v>
      </c>
      <c r="M1899" s="4">
        <f t="shared" si="119"/>
        <v>2.4945086172603643E+83</v>
      </c>
    </row>
    <row r="1900" spans="1:13" x14ac:dyDescent="0.2">
      <c r="A1900" s="3">
        <f>StartYear+1898</f>
        <v>3923</v>
      </c>
      <c r="B1900" s="4">
        <f>FacultyFTE*HoursPerWeek*WeeksPerYear*RatePerHour*(1+PracticeGrowth)^1898</f>
        <v>4.749874363788418E+45</v>
      </c>
      <c r="C1900" s="4">
        <f>StudentsY1*(1+StudentGrowth)^1898*CreditsPerStudent*TuitionPerCredit</f>
        <v>2.9686714773677615E+46</v>
      </c>
      <c r="D1900" s="4">
        <f>SimRevY1*(1+SimGrowth)^1898</f>
        <v>1.829306319324268E+83</v>
      </c>
      <c r="E1900" s="4">
        <f>FacDevRevY1*(1+FacDevGrowth)^1898</f>
        <v>9.14653159662134E+82</v>
      </c>
      <c r="F1900" s="4">
        <f t="shared" si="116"/>
        <v>2.7439594789864019E+83</v>
      </c>
      <c r="G1900" s="4">
        <f t="shared" si="117"/>
        <v>2.7439594789864019E+83</v>
      </c>
      <c r="H1900" s="4">
        <f>SalaryFTECount*SalaryPerFTE*(1+SalaryGrowth)^1898</f>
        <v>4.4822624667435562E+37</v>
      </c>
      <c r="I1900" s="4">
        <f>SimOpsY1*(1+SimOpsGrowth)^1898</f>
        <v>8.2301768788049552E+67</v>
      </c>
      <c r="J1900" s="4">
        <f>TrainDevY1*(1+TrainDevGrowth)^1898</f>
        <v>4.1150884394024776E+67</v>
      </c>
      <c r="K1900" s="4">
        <f>AdminY1*(1+AdminGrowth)^1898</f>
        <v>2.145666734790516E+52</v>
      </c>
      <c r="L1900" s="4">
        <f t="shared" si="118"/>
        <v>1.2345265318207435E+68</v>
      </c>
      <c r="M1900" s="4">
        <f t="shared" si="119"/>
        <v>2.7439594789864008E+83</v>
      </c>
    </row>
    <row r="1901" spans="1:13" x14ac:dyDescent="0.2">
      <c r="A1901" s="3">
        <f>StartYear+1899</f>
        <v>3924</v>
      </c>
      <c r="B1901" s="4">
        <f>FacultyFTE*HoursPerWeek*WeeksPerYear*RatePerHour*(1+PracticeGrowth)^1899</f>
        <v>4.9873680819778396E+45</v>
      </c>
      <c r="C1901" s="4">
        <f>StudentsY1*(1+StudentGrowth)^1899*CreditsPerStudent*TuitionPerCredit</f>
        <v>3.1171050512361494E+46</v>
      </c>
      <c r="D1901" s="4">
        <f>SimRevY1*(1+SimGrowth)^1899</f>
        <v>2.012236951256695E+83</v>
      </c>
      <c r="E1901" s="4">
        <f>FacDevRevY1*(1+FacDevGrowth)^1899</f>
        <v>1.0061184756283475E+83</v>
      </c>
      <c r="F1901" s="4">
        <f t="shared" si="116"/>
        <v>3.0183554268850422E+83</v>
      </c>
      <c r="G1901" s="4">
        <f t="shared" si="117"/>
        <v>3.0183554268850422E+83</v>
      </c>
      <c r="H1901" s="4">
        <f>SalaryFTECount*SalaryPerFTE*(1+SalaryGrowth)^1899</f>
        <v>4.6615529654132992E+37</v>
      </c>
      <c r="I1901" s="4">
        <f>SimOpsY1*(1+SimOpsGrowth)^1899</f>
        <v>8.8885910291093522E+67</v>
      </c>
      <c r="J1901" s="4">
        <f>TrainDevY1*(1+TrainDevGrowth)^1899</f>
        <v>4.4442955145546761E+67</v>
      </c>
      <c r="K1901" s="4">
        <f>AdminY1*(1+AdminGrowth)^1899</f>
        <v>2.2744067388779471E+52</v>
      </c>
      <c r="L1901" s="4">
        <f t="shared" si="118"/>
        <v>1.333288654366403E+68</v>
      </c>
      <c r="M1901" s="4">
        <f t="shared" si="119"/>
        <v>3.0183554268850411E+83</v>
      </c>
    </row>
    <row r="1902" spans="1:13" x14ac:dyDescent="0.2">
      <c r="A1902" s="3">
        <f>StartYear+1900</f>
        <v>3925</v>
      </c>
      <c r="B1902" s="4">
        <f>FacultyFTE*HoursPerWeek*WeeksPerYear*RatePerHour*(1+PracticeGrowth)^1900</f>
        <v>5.2367364860767297E+45</v>
      </c>
      <c r="C1902" s="4">
        <f>StudentsY1*(1+StudentGrowth)^1900*CreditsPerStudent*TuitionPerCredit</f>
        <v>3.2729603037979563E+46</v>
      </c>
      <c r="D1902" s="4">
        <f>SimRevY1*(1+SimGrowth)^1900</f>
        <v>2.2134606463823648E+83</v>
      </c>
      <c r="E1902" s="4">
        <f>FacDevRevY1*(1+FacDevGrowth)^1900</f>
        <v>1.1067303231911824E+83</v>
      </c>
      <c r="F1902" s="4">
        <f t="shared" si="116"/>
        <v>3.3201909695735471E+83</v>
      </c>
      <c r="G1902" s="4">
        <f t="shared" si="117"/>
        <v>3.3201909695735471E+83</v>
      </c>
      <c r="H1902" s="4">
        <f>SalaryFTECount*SalaryPerFTE*(1+SalaryGrowth)^1900</f>
        <v>4.8480150840298316E+37</v>
      </c>
      <c r="I1902" s="4">
        <f>SimOpsY1*(1+SimOpsGrowth)^1900</f>
        <v>9.599678311438102E+67</v>
      </c>
      <c r="J1902" s="4">
        <f>TrainDevY1*(1+TrainDevGrowth)^1900</f>
        <v>4.799839155719051E+67</v>
      </c>
      <c r="K1902" s="4">
        <f>AdminY1*(1+AdminGrowth)^1900</f>
        <v>2.4108711432106241E+52</v>
      </c>
      <c r="L1902" s="4">
        <f t="shared" si="118"/>
        <v>1.4399517467157157E+68</v>
      </c>
      <c r="M1902" s="4">
        <f t="shared" si="119"/>
        <v>3.3201909695735455E+83</v>
      </c>
    </row>
    <row r="1903" spans="1:13" x14ac:dyDescent="0.2">
      <c r="A1903" s="3">
        <f>StartYear+1901</f>
        <v>3926</v>
      </c>
      <c r="B1903" s="4">
        <f>FacultyFTE*HoursPerWeek*WeeksPerYear*RatePerHour*(1+PracticeGrowth)^1901</f>
        <v>5.4985733103805682E+45</v>
      </c>
      <c r="C1903" s="4">
        <f>StudentsY1*(1+StudentGrowth)^1901*CreditsPerStudent*TuitionPerCredit</f>
        <v>3.4366083189878553E+46</v>
      </c>
      <c r="D1903" s="4">
        <f>SimRevY1*(1+SimGrowth)^1901</f>
        <v>2.4348067110206015E+83</v>
      </c>
      <c r="E1903" s="4">
        <f>FacDevRevY1*(1+FacDevGrowth)^1901</f>
        <v>1.2174033555103007E+83</v>
      </c>
      <c r="F1903" s="4">
        <f t="shared" si="116"/>
        <v>3.6522100665309025E+83</v>
      </c>
      <c r="G1903" s="4">
        <f t="shared" si="117"/>
        <v>3.6522100665309025E+83</v>
      </c>
      <c r="H1903" s="4">
        <f>SalaryFTECount*SalaryPerFTE*(1+SalaryGrowth)^1901</f>
        <v>5.0419356873910252E+37</v>
      </c>
      <c r="I1903" s="4">
        <f>SimOpsY1*(1+SimOpsGrowth)^1901</f>
        <v>1.036765257635315E+68</v>
      </c>
      <c r="J1903" s="4">
        <f>TrainDevY1*(1+TrainDevGrowth)^1901</f>
        <v>5.1838262881765751E+67</v>
      </c>
      <c r="K1903" s="4">
        <f>AdminY1*(1+AdminGrowth)^1901</f>
        <v>2.5555234118032618E+52</v>
      </c>
      <c r="L1903" s="4">
        <f t="shared" si="118"/>
        <v>1.5551478864529728E+68</v>
      </c>
      <c r="M1903" s="4">
        <f t="shared" si="119"/>
        <v>3.6522100665309009E+83</v>
      </c>
    </row>
    <row r="1904" spans="1:13" x14ac:dyDescent="0.2">
      <c r="A1904" s="3">
        <f>StartYear+1902</f>
        <v>3927</v>
      </c>
      <c r="B1904" s="4">
        <f>FacultyFTE*HoursPerWeek*WeeksPerYear*RatePerHour*(1+PracticeGrowth)^1902</f>
        <v>5.7735019758995953E+45</v>
      </c>
      <c r="C1904" s="4">
        <f>StudentsY1*(1+StudentGrowth)^1902*CreditsPerStudent*TuitionPerCredit</f>
        <v>3.6084387349372468E+46</v>
      </c>
      <c r="D1904" s="4">
        <f>SimRevY1*(1+SimGrowth)^1902</f>
        <v>2.6782873821226625E+83</v>
      </c>
      <c r="E1904" s="4">
        <f>FacDevRevY1*(1+FacDevGrowth)^1902</f>
        <v>1.3391436910613313E+83</v>
      </c>
      <c r="F1904" s="4">
        <f t="shared" si="116"/>
        <v>4.0174310731839938E+83</v>
      </c>
      <c r="G1904" s="4">
        <f t="shared" si="117"/>
        <v>4.0174310731839938E+83</v>
      </c>
      <c r="H1904" s="4">
        <f>SalaryFTECount*SalaryPerFTE*(1+SalaryGrowth)^1902</f>
        <v>5.2436131148866664E+37</v>
      </c>
      <c r="I1904" s="4">
        <f>SimOpsY1*(1+SimOpsGrowth)^1902</f>
        <v>1.1197064782461402E+68</v>
      </c>
      <c r="J1904" s="4">
        <f>TrainDevY1*(1+TrainDevGrowth)^1902</f>
        <v>5.5985323912307009E+67</v>
      </c>
      <c r="K1904" s="4">
        <f>AdminY1*(1+AdminGrowth)^1902</f>
        <v>2.7088548165114581E+52</v>
      </c>
      <c r="L1904" s="4">
        <f t="shared" si="118"/>
        <v>1.6795597173692105E+68</v>
      </c>
      <c r="M1904" s="4">
        <f t="shared" si="119"/>
        <v>4.0174310731839922E+83</v>
      </c>
    </row>
    <row r="1905" spans="1:13" x14ac:dyDescent="0.2">
      <c r="A1905" s="3">
        <f>StartYear+1903</f>
        <v>3928</v>
      </c>
      <c r="B1905" s="4">
        <f>FacultyFTE*HoursPerWeek*WeeksPerYear*RatePerHour*(1+PracticeGrowth)^1903</f>
        <v>6.0621770746945766E+45</v>
      </c>
      <c r="C1905" s="4">
        <f>StudentsY1*(1+StudentGrowth)^1903*CreditsPerStudent*TuitionPerCredit</f>
        <v>3.7888606716841107E+46</v>
      </c>
      <c r="D1905" s="4">
        <f>SimRevY1*(1+SimGrowth)^1903</f>
        <v>2.9461161203349285E+83</v>
      </c>
      <c r="E1905" s="4">
        <f>FacDevRevY1*(1+FacDevGrowth)^1903</f>
        <v>1.4730580601674642E+83</v>
      </c>
      <c r="F1905" s="4">
        <f t="shared" si="116"/>
        <v>4.4191741805023927E+83</v>
      </c>
      <c r="G1905" s="4">
        <f t="shared" si="117"/>
        <v>4.4191741805023927E+83</v>
      </c>
      <c r="H1905" s="4">
        <f>SalaryFTECount*SalaryPerFTE*(1+SalaryGrowth)^1903</f>
        <v>5.4533576394821323E+37</v>
      </c>
      <c r="I1905" s="4">
        <f>SimOpsY1*(1+SimOpsGrowth)^1903</f>
        <v>1.2092829965058318E+68</v>
      </c>
      <c r="J1905" s="4">
        <f>TrainDevY1*(1+TrainDevGrowth)^1903</f>
        <v>6.0464149825291591E+67</v>
      </c>
      <c r="K1905" s="4">
        <f>AdminY1*(1+AdminGrowth)^1903</f>
        <v>2.8713861055021458E+52</v>
      </c>
      <c r="L1905" s="4">
        <f t="shared" si="118"/>
        <v>1.8139244947587478E+68</v>
      </c>
      <c r="M1905" s="4">
        <f t="shared" si="119"/>
        <v>4.4191741805023911E+83</v>
      </c>
    </row>
    <row r="1906" spans="1:13" x14ac:dyDescent="0.2">
      <c r="A1906" s="3">
        <f>StartYear+1904</f>
        <v>3929</v>
      </c>
      <c r="B1906" s="4">
        <f>FacultyFTE*HoursPerWeek*WeeksPerYear*RatePerHour*(1+PracticeGrowth)^1904</f>
        <v>6.3652859284293049E+45</v>
      </c>
      <c r="C1906" s="4">
        <f>StudentsY1*(1+StudentGrowth)^1904*CreditsPerStudent*TuitionPerCredit</f>
        <v>3.9783037052683156E+46</v>
      </c>
      <c r="D1906" s="4">
        <f>SimRevY1*(1+SimGrowth)^1904</f>
        <v>3.2407277323684208E+83</v>
      </c>
      <c r="E1906" s="4">
        <f>FacDevRevY1*(1+FacDevGrowth)^1904</f>
        <v>1.6203638661842104E+83</v>
      </c>
      <c r="F1906" s="4">
        <f t="shared" si="116"/>
        <v>4.8610915985526309E+83</v>
      </c>
      <c r="G1906" s="4">
        <f t="shared" si="117"/>
        <v>4.8610915985526309E+83</v>
      </c>
      <c r="H1906" s="4">
        <f>SalaryFTECount*SalaryPerFTE*(1+SalaryGrowth)^1904</f>
        <v>5.6714919450614193E+37</v>
      </c>
      <c r="I1906" s="4">
        <f>SimOpsY1*(1+SimOpsGrowth)^1904</f>
        <v>1.3060256362262985E+68</v>
      </c>
      <c r="J1906" s="4">
        <f>TrainDevY1*(1+TrainDevGrowth)^1904</f>
        <v>6.5301281811314925E+67</v>
      </c>
      <c r="K1906" s="4">
        <f>AdminY1*(1+AdminGrowth)^1904</f>
        <v>3.0436692718322737E+52</v>
      </c>
      <c r="L1906" s="4">
        <f t="shared" si="118"/>
        <v>1.959038454339448E+68</v>
      </c>
      <c r="M1906" s="4">
        <f t="shared" si="119"/>
        <v>4.8610915985526288E+83</v>
      </c>
    </row>
    <row r="1907" spans="1:13" x14ac:dyDescent="0.2">
      <c r="A1907" s="3">
        <f>StartYear+1905</f>
        <v>3930</v>
      </c>
      <c r="B1907" s="4">
        <f>FacultyFTE*HoursPerWeek*WeeksPerYear*RatePerHour*(1+PracticeGrowth)^1905</f>
        <v>6.6835502248507707E+45</v>
      </c>
      <c r="C1907" s="4">
        <f>StudentsY1*(1+StudentGrowth)^1905*CreditsPerStudent*TuitionPerCredit</f>
        <v>4.1772188905317321E+46</v>
      </c>
      <c r="D1907" s="4">
        <f>SimRevY1*(1+SimGrowth)^1905</f>
        <v>3.5648005056052638E+83</v>
      </c>
      <c r="E1907" s="4">
        <f>FacDevRevY1*(1+FacDevGrowth)^1905</f>
        <v>1.7824002528026319E+83</v>
      </c>
      <c r="F1907" s="4">
        <f t="shared" si="116"/>
        <v>5.3472007584078959E+83</v>
      </c>
      <c r="G1907" s="4">
        <f t="shared" si="117"/>
        <v>5.3472007584078959E+83</v>
      </c>
      <c r="H1907" s="4">
        <f>SalaryFTECount*SalaryPerFTE*(1+SalaryGrowth)^1905</f>
        <v>5.8983516228638752E+37</v>
      </c>
      <c r="I1907" s="4">
        <f>SimOpsY1*(1+SimOpsGrowth)^1905</f>
        <v>1.4105076871244022E+68</v>
      </c>
      <c r="J1907" s="4">
        <f>TrainDevY1*(1+TrainDevGrowth)^1905</f>
        <v>7.052538435622011E+67</v>
      </c>
      <c r="K1907" s="4">
        <f>AdminY1*(1+AdminGrowth)^1905</f>
        <v>3.226289428142211E+52</v>
      </c>
      <c r="L1907" s="4">
        <f t="shared" si="118"/>
        <v>2.1157615306866037E+68</v>
      </c>
      <c r="M1907" s="4">
        <f t="shared" si="119"/>
        <v>5.3472007584078938E+83</v>
      </c>
    </row>
    <row r="1908" spans="1:13" x14ac:dyDescent="0.2">
      <c r="A1908" s="3">
        <f>StartYear+1906</f>
        <v>3931</v>
      </c>
      <c r="B1908" s="4">
        <f>FacultyFTE*HoursPerWeek*WeeksPerYear*RatePerHour*(1+PracticeGrowth)^1906</f>
        <v>7.0177277360933108E+45</v>
      </c>
      <c r="C1908" s="4">
        <f>StudentsY1*(1+StudentGrowth)^1906*CreditsPerStudent*TuitionPerCredit</f>
        <v>4.3860798350583194E+46</v>
      </c>
      <c r="D1908" s="4">
        <f>SimRevY1*(1+SimGrowth)^1906</f>
        <v>3.9212805561657903E+83</v>
      </c>
      <c r="E1908" s="4">
        <f>FacDevRevY1*(1+FacDevGrowth)^1906</f>
        <v>1.9606402780828952E+83</v>
      </c>
      <c r="F1908" s="4">
        <f t="shared" si="116"/>
        <v>5.8819208342486852E+83</v>
      </c>
      <c r="G1908" s="4">
        <f t="shared" si="117"/>
        <v>5.8819208342486852E+83</v>
      </c>
      <c r="H1908" s="4">
        <f>SalaryFTECount*SalaryPerFTE*(1+SalaryGrowth)^1906</f>
        <v>6.1342856877784305E+37</v>
      </c>
      <c r="I1908" s="4">
        <f>SimOpsY1*(1+SimOpsGrowth)^1906</f>
        <v>1.5233483020943548E+68</v>
      </c>
      <c r="J1908" s="4">
        <f>TrainDevY1*(1+TrainDevGrowth)^1906</f>
        <v>7.6167415104717739E+67</v>
      </c>
      <c r="K1908" s="4">
        <f>AdminY1*(1+AdminGrowth)^1906</f>
        <v>3.4198667938307434E+52</v>
      </c>
      <c r="L1908" s="4">
        <f t="shared" si="118"/>
        <v>2.2850224531415324E+68</v>
      </c>
      <c r="M1908" s="4">
        <f t="shared" si="119"/>
        <v>5.8819208342486831E+83</v>
      </c>
    </row>
    <row r="1909" spans="1:13" x14ac:dyDescent="0.2">
      <c r="A1909" s="3">
        <f>StartYear+1907</f>
        <v>3932</v>
      </c>
      <c r="B1909" s="4">
        <f>FacultyFTE*HoursPerWeek*WeeksPerYear*RatePerHour*(1+PracticeGrowth)^1907</f>
        <v>7.3686141228979744E+45</v>
      </c>
      <c r="C1909" s="4">
        <f>StudentsY1*(1+StudentGrowth)^1907*CreditsPerStudent*TuitionPerCredit</f>
        <v>4.6053838268112341E+46</v>
      </c>
      <c r="D1909" s="4">
        <f>SimRevY1*(1+SimGrowth)^1907</f>
        <v>4.3134086117823688E+83</v>
      </c>
      <c r="E1909" s="4">
        <f>FacDevRevY1*(1+FacDevGrowth)^1907</f>
        <v>2.1567043058911844E+83</v>
      </c>
      <c r="F1909" s="4">
        <f t="shared" si="116"/>
        <v>6.4701129176735529E+83</v>
      </c>
      <c r="G1909" s="4">
        <f t="shared" si="117"/>
        <v>6.4701129176735529E+83</v>
      </c>
      <c r="H1909" s="4">
        <f>SalaryFTECount*SalaryPerFTE*(1+SalaryGrowth)^1907</f>
        <v>6.3796571152895688E+37</v>
      </c>
      <c r="I1909" s="4">
        <f>SimOpsY1*(1+SimOpsGrowth)^1907</f>
        <v>1.6452161662619031E+68</v>
      </c>
      <c r="J1909" s="4">
        <f>TrainDevY1*(1+TrainDevGrowth)^1907</f>
        <v>8.2260808313095157E+67</v>
      </c>
      <c r="K1909" s="4">
        <f>AdminY1*(1+AdminGrowth)^1907</f>
        <v>3.6250588014605887E+52</v>
      </c>
      <c r="L1909" s="4">
        <f t="shared" si="118"/>
        <v>2.4678242493928552E+68</v>
      </c>
      <c r="M1909" s="4">
        <f t="shared" si="119"/>
        <v>6.4701129176735507E+83</v>
      </c>
    </row>
    <row r="1910" spans="1:13" x14ac:dyDescent="0.2">
      <c r="A1910" s="3">
        <f>StartYear+1908</f>
        <v>3933</v>
      </c>
      <c r="B1910" s="4">
        <f>FacultyFTE*HoursPerWeek*WeeksPerYear*RatePerHour*(1+PracticeGrowth)^1908</f>
        <v>7.7370448290428751E+45</v>
      </c>
      <c r="C1910" s="4">
        <f>StudentsY1*(1+StudentGrowth)^1908*CreditsPerStudent*TuitionPerCredit</f>
        <v>4.8356530181517965E+46</v>
      </c>
      <c r="D1910" s="4">
        <f>SimRevY1*(1+SimGrowth)^1908</f>
        <v>4.7447494729606074E+83</v>
      </c>
      <c r="E1910" s="4">
        <f>FacDevRevY1*(1+FacDevGrowth)^1908</f>
        <v>2.3723747364803037E+83</v>
      </c>
      <c r="F1910" s="4">
        <f t="shared" si="116"/>
        <v>7.1171242094409114E+83</v>
      </c>
      <c r="G1910" s="4">
        <f t="shared" si="117"/>
        <v>7.1171242094409114E+83</v>
      </c>
      <c r="H1910" s="4">
        <f>SalaryFTECount*SalaryPerFTE*(1+SalaryGrowth)^1908</f>
        <v>6.634843399901152E+37</v>
      </c>
      <c r="I1910" s="4">
        <f>SimOpsY1*(1+SimOpsGrowth)^1908</f>
        <v>1.7768334595628552E+68</v>
      </c>
      <c r="J1910" s="4">
        <f>TrainDevY1*(1+TrainDevGrowth)^1908</f>
        <v>8.8841672978142762E+67</v>
      </c>
      <c r="K1910" s="4">
        <f>AdminY1*(1+AdminGrowth)^1908</f>
        <v>3.8425623295482234E+52</v>
      </c>
      <c r="L1910" s="4">
        <f t="shared" si="118"/>
        <v>2.6652501893442833E+68</v>
      </c>
      <c r="M1910" s="4">
        <f t="shared" si="119"/>
        <v>7.1171242094409092E+83</v>
      </c>
    </row>
    <row r="1911" spans="1:13" x14ac:dyDescent="0.2">
      <c r="A1911" s="3">
        <f>StartYear+1909</f>
        <v>3934</v>
      </c>
      <c r="B1911" s="4">
        <f>FacultyFTE*HoursPerWeek*WeeksPerYear*RatePerHour*(1+PracticeGrowth)^1909</f>
        <v>8.1238970704950169E+45</v>
      </c>
      <c r="C1911" s="4">
        <f>StudentsY1*(1+StudentGrowth)^1909*CreditsPerStudent*TuitionPerCredit</f>
        <v>5.0774356690593848E+46</v>
      </c>
      <c r="D1911" s="4">
        <f>SimRevY1*(1+SimGrowth)^1909</f>
        <v>5.2192244202566669E+83</v>
      </c>
      <c r="E1911" s="4">
        <f>FacDevRevY1*(1+FacDevGrowth)^1909</f>
        <v>2.6096122101283335E+83</v>
      </c>
      <c r="F1911" s="4">
        <f t="shared" si="116"/>
        <v>7.8288366303850009E+83</v>
      </c>
      <c r="G1911" s="4">
        <f t="shared" si="117"/>
        <v>7.8288366303850009E+83</v>
      </c>
      <c r="H1911" s="4">
        <f>SalaryFTECount*SalaryPerFTE*(1+SalaryGrowth)^1909</f>
        <v>6.9002371358971983E+37</v>
      </c>
      <c r="I1911" s="4">
        <f>SimOpsY1*(1+SimOpsGrowth)^1909</f>
        <v>1.9189801363278836E+68</v>
      </c>
      <c r="J1911" s="4">
        <f>TrainDevY1*(1+TrainDevGrowth)^1909</f>
        <v>9.5949006816394178E+67</v>
      </c>
      <c r="K1911" s="4">
        <f>AdminY1*(1+AdminGrowth)^1909</f>
        <v>4.0731160693211175E+52</v>
      </c>
      <c r="L1911" s="4">
        <f t="shared" si="118"/>
        <v>2.8784702044918258E+68</v>
      </c>
      <c r="M1911" s="4">
        <f t="shared" si="119"/>
        <v>7.8288366303849977E+83</v>
      </c>
    </row>
    <row r="1912" spans="1:13" x14ac:dyDescent="0.2">
      <c r="A1912" s="3">
        <f>StartYear+1910</f>
        <v>3935</v>
      </c>
      <c r="B1912" s="4">
        <f>FacultyFTE*HoursPerWeek*WeeksPerYear*RatePerHour*(1+PracticeGrowth)^1910</f>
        <v>8.5300919240197674E+45</v>
      </c>
      <c r="C1912" s="4">
        <f>StudentsY1*(1+StudentGrowth)^1910*CreditsPerStudent*TuitionPerCredit</f>
        <v>5.3313074525123555E+46</v>
      </c>
      <c r="D1912" s="4">
        <f>SimRevY1*(1+SimGrowth)^1910</f>
        <v>5.7411468622823352E+83</v>
      </c>
      <c r="E1912" s="4">
        <f>FacDevRevY1*(1+FacDevGrowth)^1910</f>
        <v>2.8705734311411676E+83</v>
      </c>
      <c r="F1912" s="4">
        <f t="shared" si="116"/>
        <v>8.6117202934235034E+83</v>
      </c>
      <c r="G1912" s="4">
        <f t="shared" si="117"/>
        <v>8.6117202934235034E+83</v>
      </c>
      <c r="H1912" s="4">
        <f>SalaryFTECount*SalaryPerFTE*(1+SalaryGrowth)^1910</f>
        <v>7.1762466213330874E+37</v>
      </c>
      <c r="I1912" s="4">
        <f>SimOpsY1*(1+SimOpsGrowth)^1910</f>
        <v>2.0724985472341143E+68</v>
      </c>
      <c r="J1912" s="4">
        <f>TrainDevY1*(1+TrainDevGrowth)^1910</f>
        <v>1.0362492736170572E+68</v>
      </c>
      <c r="K1912" s="4">
        <f>AdminY1*(1+AdminGrowth)^1910</f>
        <v>4.3175030334803852E+52</v>
      </c>
      <c r="L1912" s="4">
        <f t="shared" si="118"/>
        <v>3.1087478208511718E+68</v>
      </c>
      <c r="M1912" s="4">
        <f t="shared" si="119"/>
        <v>8.6117202934235001E+83</v>
      </c>
    </row>
    <row r="1913" spans="1:13" x14ac:dyDescent="0.2">
      <c r="A1913" s="3">
        <f>StartYear+1911</f>
        <v>3936</v>
      </c>
      <c r="B1913" s="4">
        <f>FacultyFTE*HoursPerWeek*WeeksPerYear*RatePerHour*(1+PracticeGrowth)^1911</f>
        <v>8.9565965202207561E+45</v>
      </c>
      <c r="C1913" s="4">
        <f>StudentsY1*(1+StudentGrowth)^1911*CreditsPerStudent*TuitionPerCredit</f>
        <v>5.5978728251379729E+46</v>
      </c>
      <c r="D1913" s="4">
        <f>SimRevY1*(1+SimGrowth)^1911</f>
        <v>6.3152615485105702E+83</v>
      </c>
      <c r="E1913" s="4">
        <f>FacDevRevY1*(1+FacDevGrowth)^1911</f>
        <v>3.1576307742552851E+83</v>
      </c>
      <c r="F1913" s="4">
        <f t="shared" si="116"/>
        <v>9.4728923227658552E+83</v>
      </c>
      <c r="G1913" s="4">
        <f t="shared" si="117"/>
        <v>9.4728923227658552E+83</v>
      </c>
      <c r="H1913" s="4">
        <f>SalaryFTECount*SalaryPerFTE*(1+SalaryGrowth)^1911</f>
        <v>7.463296486186409E+37</v>
      </c>
      <c r="I1913" s="4">
        <f>SimOpsY1*(1+SimOpsGrowth)^1911</f>
        <v>2.2382984310128438E+68</v>
      </c>
      <c r="J1913" s="4">
        <f>TrainDevY1*(1+TrainDevGrowth)^1911</f>
        <v>1.1191492155064219E+68</v>
      </c>
      <c r="K1913" s="4">
        <f>AdminY1*(1+AdminGrowth)^1911</f>
        <v>4.5765532154892083E+52</v>
      </c>
      <c r="L1913" s="4">
        <f t="shared" si="118"/>
        <v>3.3574476465192659E+68</v>
      </c>
      <c r="M1913" s="4">
        <f t="shared" si="119"/>
        <v>9.472892322765852E+83</v>
      </c>
    </row>
    <row r="1914" spans="1:13" x14ac:dyDescent="0.2">
      <c r="A1914" s="3">
        <f>StartYear+1912</f>
        <v>3937</v>
      </c>
      <c r="B1914" s="4">
        <f>FacultyFTE*HoursPerWeek*WeeksPerYear*RatePerHour*(1+PracticeGrowth)^1912</f>
        <v>9.4044263462317958E+45</v>
      </c>
      <c r="C1914" s="4">
        <f>StudentsY1*(1+StudentGrowth)^1912*CreditsPerStudent*TuitionPerCredit</f>
        <v>5.8777664663948728E+46</v>
      </c>
      <c r="D1914" s="4">
        <f>SimRevY1*(1+SimGrowth)^1912</f>
        <v>6.9467877033616257E+83</v>
      </c>
      <c r="E1914" s="4">
        <f>FacDevRevY1*(1+FacDevGrowth)^1912</f>
        <v>3.4733938516808128E+83</v>
      </c>
      <c r="F1914" s="4">
        <f t="shared" si="116"/>
        <v>1.0420181555042438E+84</v>
      </c>
      <c r="G1914" s="4">
        <f t="shared" si="117"/>
        <v>1.0420181555042438E+84</v>
      </c>
      <c r="H1914" s="4">
        <f>SalaryFTECount*SalaryPerFTE*(1+SalaryGrowth)^1912</f>
        <v>7.7618283456338664E+37</v>
      </c>
      <c r="I1914" s="4">
        <f>SimOpsY1*(1+SimOpsGrowth)^1912</f>
        <v>2.4173623054938717E+68</v>
      </c>
      <c r="J1914" s="4">
        <f>TrainDevY1*(1+TrainDevGrowth)^1912</f>
        <v>1.2086811527469358E+68</v>
      </c>
      <c r="K1914" s="4">
        <f>AdminY1*(1+AdminGrowth)^1912</f>
        <v>4.8511464084185595E+52</v>
      </c>
      <c r="L1914" s="4">
        <f t="shared" si="118"/>
        <v>3.626043458240808E+68</v>
      </c>
      <c r="M1914" s="4">
        <f t="shared" si="119"/>
        <v>1.0420181555042434E+84</v>
      </c>
    </row>
    <row r="1915" spans="1:13" x14ac:dyDescent="0.2">
      <c r="A1915" s="3">
        <f>StartYear+1913</f>
        <v>3938</v>
      </c>
      <c r="B1915" s="4">
        <f>FacultyFTE*HoursPerWeek*WeeksPerYear*RatePerHour*(1+PracticeGrowth)^1913</f>
        <v>9.8746476635433851E+45</v>
      </c>
      <c r="C1915" s="4">
        <f>StudentsY1*(1+StudentGrowth)^1913*CreditsPerStudent*TuitionPerCredit</f>
        <v>6.1716547897146144E+46</v>
      </c>
      <c r="D1915" s="4">
        <f>SimRevY1*(1+SimGrowth)^1913</f>
        <v>7.6414664736977891E+83</v>
      </c>
      <c r="E1915" s="4">
        <f>FacDevRevY1*(1+FacDevGrowth)^1913</f>
        <v>3.8207332368488945E+83</v>
      </c>
      <c r="F1915" s="4">
        <f t="shared" si="116"/>
        <v>1.1462199710546685E+84</v>
      </c>
      <c r="G1915" s="4">
        <f t="shared" si="117"/>
        <v>1.1462199710546685E+84</v>
      </c>
      <c r="H1915" s="4">
        <f>SalaryFTECount*SalaryPerFTE*(1+SalaryGrowth)^1913</f>
        <v>8.0723014794592237E+37</v>
      </c>
      <c r="I1915" s="4">
        <f>SimOpsY1*(1+SimOpsGrowth)^1913</f>
        <v>2.6107512899333816E+68</v>
      </c>
      <c r="J1915" s="4">
        <f>TrainDevY1*(1+TrainDevGrowth)^1913</f>
        <v>1.3053756449666908E+68</v>
      </c>
      <c r="K1915" s="4">
        <f>AdminY1*(1+AdminGrowth)^1913</f>
        <v>5.1422151929236746E+52</v>
      </c>
      <c r="L1915" s="4">
        <f t="shared" si="118"/>
        <v>3.9161269349000729E+68</v>
      </c>
      <c r="M1915" s="4">
        <f t="shared" si="119"/>
        <v>1.146219971054668E+84</v>
      </c>
    </row>
    <row r="1916" spans="1:13" x14ac:dyDescent="0.2">
      <c r="A1916" s="3">
        <f>StartYear+1914</f>
        <v>3939</v>
      </c>
      <c r="B1916" s="4">
        <f>FacultyFTE*HoursPerWeek*WeeksPerYear*RatePerHour*(1+PracticeGrowth)^1914</f>
        <v>1.0368380046720557E+46</v>
      </c>
      <c r="C1916" s="4">
        <f>StudentsY1*(1+StudentGrowth)^1914*CreditsPerStudent*TuitionPerCredit</f>
        <v>6.4802375292003467E+46</v>
      </c>
      <c r="D1916" s="4">
        <f>SimRevY1*(1+SimGrowth)^1914</f>
        <v>8.4056131210675691E+83</v>
      </c>
      <c r="E1916" s="4">
        <f>FacDevRevY1*(1+FacDevGrowth)^1914</f>
        <v>4.2028065605337845E+83</v>
      </c>
      <c r="F1916" s="4">
        <f t="shared" si="116"/>
        <v>1.2608419681601354E+84</v>
      </c>
      <c r="G1916" s="4">
        <f t="shared" si="117"/>
        <v>1.2608419681601354E+84</v>
      </c>
      <c r="H1916" s="4">
        <f>SalaryFTECount*SalaryPerFTE*(1+SalaryGrowth)^1914</f>
        <v>8.39519353863759E+37</v>
      </c>
      <c r="I1916" s="4">
        <f>SimOpsY1*(1+SimOpsGrowth)^1914</f>
        <v>2.819611393128052E+68</v>
      </c>
      <c r="J1916" s="4">
        <f>TrainDevY1*(1+TrainDevGrowth)^1914</f>
        <v>1.409805696564026E+68</v>
      </c>
      <c r="K1916" s="4">
        <f>AdminY1*(1+AdminGrowth)^1914</f>
        <v>5.4507481044990947E+52</v>
      </c>
      <c r="L1916" s="4">
        <f t="shared" si="118"/>
        <v>4.2294170896920782E+68</v>
      </c>
      <c r="M1916" s="4">
        <f t="shared" si="119"/>
        <v>1.2608419681601349E+84</v>
      </c>
    </row>
    <row r="1917" spans="1:13" x14ac:dyDescent="0.2">
      <c r="A1917" s="3">
        <f>StartYear+1915</f>
        <v>3940</v>
      </c>
      <c r="B1917" s="4">
        <f>FacultyFTE*HoursPerWeek*WeeksPerYear*RatePerHour*(1+PracticeGrowth)^1915</f>
        <v>1.0886799049056584E+46</v>
      </c>
      <c r="C1917" s="4">
        <f>StudentsY1*(1+StudentGrowth)^1915*CreditsPerStudent*TuitionPerCredit</f>
        <v>6.8042494056603651E+46</v>
      </c>
      <c r="D1917" s="4">
        <f>SimRevY1*(1+SimGrowth)^1915</f>
        <v>9.2461744331743271E+83</v>
      </c>
      <c r="E1917" s="4">
        <f>FacDevRevY1*(1+FacDevGrowth)^1915</f>
        <v>4.6230872165871635E+83</v>
      </c>
      <c r="F1917" s="4">
        <f t="shared" si="116"/>
        <v>1.3869261649761491E+84</v>
      </c>
      <c r="G1917" s="4">
        <f t="shared" si="117"/>
        <v>1.3869261649761491E+84</v>
      </c>
      <c r="H1917" s="4">
        <f>SalaryFTECount*SalaryPerFTE*(1+SalaryGrowth)^1915</f>
        <v>8.7310012801830938E+37</v>
      </c>
      <c r="I1917" s="4">
        <f>SimOpsY1*(1+SimOpsGrowth)^1915</f>
        <v>3.045180304578296E+68</v>
      </c>
      <c r="J1917" s="4">
        <f>TrainDevY1*(1+TrainDevGrowth)^1915</f>
        <v>1.522590152289148E+68</v>
      </c>
      <c r="K1917" s="4">
        <f>AdminY1*(1+AdminGrowth)^1915</f>
        <v>5.7777929907690416E+52</v>
      </c>
      <c r="L1917" s="4">
        <f t="shared" si="118"/>
        <v>4.5677704568674449E+68</v>
      </c>
      <c r="M1917" s="4">
        <f t="shared" si="119"/>
        <v>1.3869261649761487E+84</v>
      </c>
    </row>
    <row r="1918" spans="1:13" x14ac:dyDescent="0.2">
      <c r="A1918" s="3">
        <f>StartYear+1916</f>
        <v>3941</v>
      </c>
      <c r="B1918" s="4">
        <f>FacultyFTE*HoursPerWeek*WeeksPerYear*RatePerHour*(1+PracticeGrowth)^1916</f>
        <v>1.1431139001509412E+46</v>
      </c>
      <c r="C1918" s="4">
        <f>StudentsY1*(1+StudentGrowth)^1916*CreditsPerStudent*TuitionPerCredit</f>
        <v>7.1444618759433814E+46</v>
      </c>
      <c r="D1918" s="4">
        <f>SimRevY1*(1+SimGrowth)^1916</f>
        <v>1.0170791876491758E+84</v>
      </c>
      <c r="E1918" s="4">
        <f>FacDevRevY1*(1+FacDevGrowth)^1916</f>
        <v>5.0853959382458789E+83</v>
      </c>
      <c r="F1918" s="4">
        <f t="shared" si="116"/>
        <v>1.5256187814737635E+84</v>
      </c>
      <c r="G1918" s="4">
        <f t="shared" si="117"/>
        <v>1.5256187814737635E+84</v>
      </c>
      <c r="H1918" s="4">
        <f>SalaryFTECount*SalaryPerFTE*(1+SalaryGrowth)^1916</f>
        <v>9.0802413313904196E+37</v>
      </c>
      <c r="I1918" s="4">
        <f>SimOpsY1*(1+SimOpsGrowth)^1916</f>
        <v>3.2887947289445596E+68</v>
      </c>
      <c r="J1918" s="4">
        <f>TrainDevY1*(1+TrainDevGrowth)^1916</f>
        <v>1.6443973644722798E+68</v>
      </c>
      <c r="K1918" s="4">
        <f>AdminY1*(1+AdminGrowth)^1916</f>
        <v>6.1244605702151823E+52</v>
      </c>
      <c r="L1918" s="4">
        <f t="shared" si="118"/>
        <v>4.9331920934168409E+68</v>
      </c>
      <c r="M1918" s="4">
        <f t="shared" si="119"/>
        <v>1.5256187814737631E+84</v>
      </c>
    </row>
    <row r="1919" spans="1:13" x14ac:dyDescent="0.2">
      <c r="A1919" s="3">
        <f>StartYear+1917</f>
        <v>3942</v>
      </c>
      <c r="B1919" s="4">
        <f>FacultyFTE*HoursPerWeek*WeeksPerYear*RatePerHour*(1+PracticeGrowth)^1917</f>
        <v>1.2002695951584882E+46</v>
      </c>
      <c r="C1919" s="4">
        <f>StudentsY1*(1+StudentGrowth)^1917*CreditsPerStudent*TuitionPerCredit</f>
        <v>7.501684969740552E+46</v>
      </c>
      <c r="D1919" s="4">
        <f>SimRevY1*(1+SimGrowth)^1917</f>
        <v>1.1187871064140938E+84</v>
      </c>
      <c r="E1919" s="4">
        <f>FacDevRevY1*(1+FacDevGrowth)^1917</f>
        <v>5.5939355320704688E+83</v>
      </c>
      <c r="F1919" s="4">
        <f t="shared" si="116"/>
        <v>1.6781806596211406E+84</v>
      </c>
      <c r="G1919" s="4">
        <f t="shared" si="117"/>
        <v>1.6781806596211406E+84</v>
      </c>
      <c r="H1919" s="4">
        <f>SalaryFTECount*SalaryPerFTE*(1+SalaryGrowth)^1917</f>
        <v>9.4434509846460355E+37</v>
      </c>
      <c r="I1919" s="4">
        <f>SimOpsY1*(1+SimOpsGrowth)^1917</f>
        <v>3.5518983072601256E+68</v>
      </c>
      <c r="J1919" s="4">
        <f>TrainDevY1*(1+TrainDevGrowth)^1917</f>
        <v>1.7759491536300628E+68</v>
      </c>
      <c r="K1919" s="4">
        <f>AdminY1*(1+AdminGrowth)^1917</f>
        <v>6.4919282044280985E+52</v>
      </c>
      <c r="L1919" s="4">
        <f t="shared" si="118"/>
        <v>5.3278474608901889E+68</v>
      </c>
      <c r="M1919" s="4">
        <f t="shared" si="119"/>
        <v>1.6781806596211402E+84</v>
      </c>
    </row>
    <row r="1920" spans="1:13" x14ac:dyDescent="0.2">
      <c r="A1920" s="3">
        <f>StartYear+1918</f>
        <v>3943</v>
      </c>
      <c r="B1920" s="4">
        <f>FacultyFTE*HoursPerWeek*WeeksPerYear*RatePerHour*(1+PracticeGrowth)^1918</f>
        <v>1.2602830749164122E+46</v>
      </c>
      <c r="C1920" s="4">
        <f>StudentsY1*(1+StudentGrowth)^1918*CreditsPerStudent*TuitionPerCredit</f>
        <v>7.8767692182275772E+46</v>
      </c>
      <c r="D1920" s="4">
        <f>SimRevY1*(1+SimGrowth)^1918</f>
        <v>1.2306658170555035E+84</v>
      </c>
      <c r="E1920" s="4">
        <f>FacDevRevY1*(1+FacDevGrowth)^1918</f>
        <v>6.1533290852775174E+83</v>
      </c>
      <c r="F1920" s="4">
        <f t="shared" si="116"/>
        <v>1.8459987255832553E+84</v>
      </c>
      <c r="G1920" s="4">
        <f t="shared" si="117"/>
        <v>1.8459987255832553E+84</v>
      </c>
      <c r="H1920" s="4">
        <f>SalaryFTECount*SalaryPerFTE*(1+SalaryGrowth)^1918</f>
        <v>9.8211890240318781E+37</v>
      </c>
      <c r="I1920" s="4">
        <f>SimOpsY1*(1+SimOpsGrowth)^1918</f>
        <v>3.8360501718409352E+68</v>
      </c>
      <c r="J1920" s="4">
        <f>TrainDevY1*(1+TrainDevGrowth)^1918</f>
        <v>1.9180250859204676E+68</v>
      </c>
      <c r="K1920" s="4">
        <f>AdminY1*(1+AdminGrowth)^1918</f>
        <v>6.8814438966937811E+52</v>
      </c>
      <c r="L1920" s="4">
        <f t="shared" si="118"/>
        <v>5.7540752577614038E+68</v>
      </c>
      <c r="M1920" s="4">
        <f t="shared" si="119"/>
        <v>1.8459987255832547E+84</v>
      </c>
    </row>
    <row r="1921" spans="1:13" x14ac:dyDescent="0.2">
      <c r="A1921" s="3">
        <f>StartYear+1919</f>
        <v>3944</v>
      </c>
      <c r="B1921" s="4">
        <f>FacultyFTE*HoursPerWeek*WeeksPerYear*RatePerHour*(1+PracticeGrowth)^1919</f>
        <v>1.3232972286622335E+46</v>
      </c>
      <c r="C1921" s="4">
        <f>StudentsY1*(1+StudentGrowth)^1919*CreditsPerStudent*TuitionPerCredit</f>
        <v>8.2706076791389596E+46</v>
      </c>
      <c r="D1921" s="4">
        <f>SimRevY1*(1+SimGrowth)^1919</f>
        <v>1.3537323987610535E+84</v>
      </c>
      <c r="E1921" s="4">
        <f>FacDevRevY1*(1+FacDevGrowth)^1919</f>
        <v>6.7686619938052677E+83</v>
      </c>
      <c r="F1921" s="4">
        <f t="shared" si="116"/>
        <v>2.0305985981415802E+84</v>
      </c>
      <c r="G1921" s="4">
        <f t="shared" si="117"/>
        <v>2.0305985981415802E+84</v>
      </c>
      <c r="H1921" s="4">
        <f>SalaryFTECount*SalaryPerFTE*(1+SalaryGrowth)^1919</f>
        <v>1.0214036584993152E+38</v>
      </c>
      <c r="I1921" s="4">
        <f>SimOpsY1*(1+SimOpsGrowth)^1919</f>
        <v>4.1429341855882109E+68</v>
      </c>
      <c r="J1921" s="4">
        <f>TrainDevY1*(1+TrainDevGrowth)^1919</f>
        <v>2.0714670927941055E+68</v>
      </c>
      <c r="K1921" s="4">
        <f>AdminY1*(1+AdminGrowth)^1919</f>
        <v>7.2943305304954108E+52</v>
      </c>
      <c r="L1921" s="4">
        <f t="shared" si="118"/>
        <v>6.2144012783823178E+68</v>
      </c>
      <c r="M1921" s="4">
        <f t="shared" si="119"/>
        <v>2.0305985981415798E+84</v>
      </c>
    </row>
    <row r="1922" spans="1:13" x14ac:dyDescent="0.2">
      <c r="A1922" s="3">
        <f>StartYear+1920</f>
        <v>3945</v>
      </c>
      <c r="B1922" s="4">
        <f>FacultyFTE*HoursPerWeek*WeeksPerYear*RatePerHour*(1+PracticeGrowth)^1920</f>
        <v>1.3894620900953451E+46</v>
      </c>
      <c r="C1922" s="4">
        <f>StudentsY1*(1+StudentGrowth)^1920*CreditsPerStudent*TuitionPerCredit</f>
        <v>8.6841380630959073E+46</v>
      </c>
      <c r="D1922" s="4">
        <f>SimRevY1*(1+SimGrowth)^1920</f>
        <v>1.4891056386371587E+84</v>
      </c>
      <c r="E1922" s="4">
        <f>FacDevRevY1*(1+FacDevGrowth)^1920</f>
        <v>7.4455281931857933E+83</v>
      </c>
      <c r="F1922" s="4">
        <f t="shared" ref="F1922:F1985" si="120">C1922+D1922+E1922</f>
        <v>2.2336584579557381E+84</v>
      </c>
      <c r="G1922" s="4">
        <f t="shared" ref="G1922:G1985" si="121">B1922+F1922</f>
        <v>2.2336584579557381E+84</v>
      </c>
      <c r="H1922" s="4">
        <f>SalaryFTECount*SalaryPerFTE*(1+SalaryGrowth)^1920</f>
        <v>1.062259804839288E+38</v>
      </c>
      <c r="I1922" s="4">
        <f>SimOpsY1*(1+SimOpsGrowth)^1920</f>
        <v>4.4743689204352678E+68</v>
      </c>
      <c r="J1922" s="4">
        <f>TrainDevY1*(1+TrainDevGrowth)^1920</f>
        <v>2.2371844602176339E+68</v>
      </c>
      <c r="K1922" s="4">
        <f>AdminY1*(1+AdminGrowth)^1920</f>
        <v>7.7319903623251334E+52</v>
      </c>
      <c r="L1922" s="4">
        <f t="shared" ref="L1922:L1985" si="122">SUM(H1922:K1922)</f>
        <v>6.7115533806529026E+68</v>
      </c>
      <c r="M1922" s="4">
        <f t="shared" ref="M1922:M1985" si="123">G1922-L1922</f>
        <v>2.2336584579557372E+84</v>
      </c>
    </row>
    <row r="1923" spans="1:13" x14ac:dyDescent="0.2">
      <c r="A1923" s="3">
        <f>StartYear+1921</f>
        <v>3946</v>
      </c>
      <c r="B1923" s="4">
        <f>FacultyFTE*HoursPerWeek*WeeksPerYear*RatePerHour*(1+PracticeGrowth)^1921</f>
        <v>1.4589351946001123E+46</v>
      </c>
      <c r="C1923" s="4">
        <f>StudentsY1*(1+StudentGrowth)^1921*CreditsPerStudent*TuitionPerCredit</f>
        <v>9.1183449662507026E+46</v>
      </c>
      <c r="D1923" s="4">
        <f>SimRevY1*(1+SimGrowth)^1921</f>
        <v>1.638016202500875E+84</v>
      </c>
      <c r="E1923" s="4">
        <f>FacDevRevY1*(1+FacDevGrowth)^1921</f>
        <v>8.1900810125043751E+83</v>
      </c>
      <c r="F1923" s="4">
        <f t="shared" si="120"/>
        <v>2.4570243037513126E+84</v>
      </c>
      <c r="G1923" s="4">
        <f t="shared" si="121"/>
        <v>2.4570243037513126E+84</v>
      </c>
      <c r="H1923" s="4">
        <f>SalaryFTECount*SalaryPerFTE*(1+SalaryGrowth)^1921</f>
        <v>1.1047501970328597E+38</v>
      </c>
      <c r="I1923" s="4">
        <f>SimOpsY1*(1+SimOpsGrowth)^1921</f>
        <v>4.8323184340700893E+68</v>
      </c>
      <c r="J1923" s="4">
        <f>TrainDevY1*(1+TrainDevGrowth)^1921</f>
        <v>2.4161592170350447E+68</v>
      </c>
      <c r="K1923" s="4">
        <f>AdminY1*(1+AdminGrowth)^1921</f>
        <v>8.1959097840646412E+52</v>
      </c>
      <c r="L1923" s="4">
        <f t="shared" si="122"/>
        <v>7.248477651105135E+68</v>
      </c>
      <c r="M1923" s="4">
        <f t="shared" si="123"/>
        <v>2.4570243037513118E+84</v>
      </c>
    </row>
    <row r="1924" spans="1:13" x14ac:dyDescent="0.2">
      <c r="A1924" s="3">
        <f>StartYear+1922</f>
        <v>3947</v>
      </c>
      <c r="B1924" s="4">
        <f>FacultyFTE*HoursPerWeek*WeeksPerYear*RatePerHour*(1+PracticeGrowth)^1922</f>
        <v>1.5318819543301181E+46</v>
      </c>
      <c r="C1924" s="4">
        <f>StudentsY1*(1+StudentGrowth)^1922*CreditsPerStudent*TuitionPerCredit</f>
        <v>9.5742622145632376E+46</v>
      </c>
      <c r="D1924" s="4">
        <f>SimRevY1*(1+SimGrowth)^1922</f>
        <v>1.8018178227509627E+84</v>
      </c>
      <c r="E1924" s="4">
        <f>FacDevRevY1*(1+FacDevGrowth)^1922</f>
        <v>9.0090891137548134E+83</v>
      </c>
      <c r="F1924" s="4">
        <f t="shared" si="120"/>
        <v>2.7027267341264439E+84</v>
      </c>
      <c r="G1924" s="4">
        <f t="shared" si="121"/>
        <v>2.7027267341264439E+84</v>
      </c>
      <c r="H1924" s="4">
        <f>SalaryFTECount*SalaryPerFTE*(1+SalaryGrowth)^1922</f>
        <v>1.1489402049141741E+38</v>
      </c>
      <c r="I1924" s="4">
        <f>SimOpsY1*(1+SimOpsGrowth)^1922</f>
        <v>5.2189039087956969E+68</v>
      </c>
      <c r="J1924" s="4">
        <f>TrainDevY1*(1+TrainDevGrowth)^1922</f>
        <v>2.6094519543978484E+68</v>
      </c>
      <c r="K1924" s="4">
        <f>AdminY1*(1+AdminGrowth)^1922</f>
        <v>8.6876643711085199E+52</v>
      </c>
      <c r="L1924" s="4">
        <f t="shared" si="122"/>
        <v>7.8283558631935463E+68</v>
      </c>
      <c r="M1924" s="4">
        <f t="shared" si="123"/>
        <v>2.7027267341264431E+84</v>
      </c>
    </row>
    <row r="1925" spans="1:13" x14ac:dyDescent="0.2">
      <c r="A1925" s="3">
        <f>StartYear+1923</f>
        <v>3948</v>
      </c>
      <c r="B1925" s="4">
        <f>FacultyFTE*HoursPerWeek*WeeksPerYear*RatePerHour*(1+PracticeGrowth)^1923</f>
        <v>1.6084760520466236E+46</v>
      </c>
      <c r="C1925" s="4">
        <f>StudentsY1*(1+StudentGrowth)^1923*CreditsPerStudent*TuitionPerCredit</f>
        <v>1.0052975325291399E+47</v>
      </c>
      <c r="D1925" s="4">
        <f>SimRevY1*(1+SimGrowth)^1923</f>
        <v>1.9819996050260589E+84</v>
      </c>
      <c r="E1925" s="4">
        <f>FacDevRevY1*(1+FacDevGrowth)^1923</f>
        <v>9.9099980251302946E+83</v>
      </c>
      <c r="F1925" s="4">
        <f t="shared" si="120"/>
        <v>2.9729994075390884E+84</v>
      </c>
      <c r="G1925" s="4">
        <f t="shared" si="121"/>
        <v>2.9729994075390884E+84</v>
      </c>
      <c r="H1925" s="4">
        <f>SalaryFTECount*SalaryPerFTE*(1+SalaryGrowth)^1923</f>
        <v>1.1948978131107412E+38</v>
      </c>
      <c r="I1925" s="4">
        <f>SimOpsY1*(1+SimOpsGrowth)^1923</f>
        <v>5.6364162214993527E+68</v>
      </c>
      <c r="J1925" s="4">
        <f>TrainDevY1*(1+TrainDevGrowth)^1923</f>
        <v>2.8182081107496764E+68</v>
      </c>
      <c r="K1925" s="4">
        <f>AdminY1*(1+AdminGrowth)^1923</f>
        <v>9.2089242333750342E+52</v>
      </c>
      <c r="L1925" s="4">
        <f t="shared" si="122"/>
        <v>8.45462433224903E+68</v>
      </c>
      <c r="M1925" s="4">
        <f t="shared" si="123"/>
        <v>2.9729994075390875E+84</v>
      </c>
    </row>
    <row r="1926" spans="1:13" x14ac:dyDescent="0.2">
      <c r="A1926" s="3">
        <f>StartYear+1924</f>
        <v>3949</v>
      </c>
      <c r="B1926" s="4">
        <f>FacultyFTE*HoursPerWeek*WeeksPerYear*RatePerHour*(1+PracticeGrowth)^1924</f>
        <v>1.6888998546489549E+46</v>
      </c>
      <c r="C1926" s="4">
        <f>StudentsY1*(1+StudentGrowth)^1924*CreditsPerStudent*TuitionPerCredit</f>
        <v>1.0555624091555968E+47</v>
      </c>
      <c r="D1926" s="4">
        <f>SimRevY1*(1+SimGrowth)^1924</f>
        <v>2.1801995655286646E+84</v>
      </c>
      <c r="E1926" s="4">
        <f>FacDevRevY1*(1+FacDevGrowth)^1924</f>
        <v>1.0900997827643323E+84</v>
      </c>
      <c r="F1926" s="4">
        <f t="shared" si="120"/>
        <v>3.2702993482929968E+84</v>
      </c>
      <c r="G1926" s="4">
        <f t="shared" si="121"/>
        <v>3.2702993482929968E+84</v>
      </c>
      <c r="H1926" s="4">
        <f>SalaryFTECount*SalaryPerFTE*(1+SalaryGrowth)^1924</f>
        <v>1.2426937256351708E+38</v>
      </c>
      <c r="I1926" s="4">
        <f>SimOpsY1*(1+SimOpsGrowth)^1924</f>
        <v>6.0873295192193025E+68</v>
      </c>
      <c r="J1926" s="4">
        <f>TrainDevY1*(1+TrainDevGrowth)^1924</f>
        <v>3.0436647596096513E+68</v>
      </c>
      <c r="K1926" s="4">
        <f>AdminY1*(1+AdminGrowth)^1924</f>
        <v>9.7614596873775328E+52</v>
      </c>
      <c r="L1926" s="4">
        <f t="shared" si="122"/>
        <v>9.1309942788289557E+68</v>
      </c>
      <c r="M1926" s="4">
        <f t="shared" si="123"/>
        <v>3.270299348292996E+84</v>
      </c>
    </row>
    <row r="1927" spans="1:13" x14ac:dyDescent="0.2">
      <c r="A1927" s="3">
        <f>StartYear+1925</f>
        <v>3950</v>
      </c>
      <c r="B1927" s="4">
        <f>FacultyFTE*HoursPerWeek*WeeksPerYear*RatePerHour*(1+PracticeGrowth)^1925</f>
        <v>1.773344847381403E+46</v>
      </c>
      <c r="C1927" s="4">
        <f>StudentsY1*(1+StudentGrowth)^1925*CreditsPerStudent*TuitionPerCredit</f>
        <v>1.1083405296133767E+47</v>
      </c>
      <c r="D1927" s="4">
        <f>SimRevY1*(1+SimGrowth)^1925</f>
        <v>2.3982195220815317E+84</v>
      </c>
      <c r="E1927" s="4">
        <f>FacDevRevY1*(1+FacDevGrowth)^1925</f>
        <v>1.1991097610407659E+84</v>
      </c>
      <c r="F1927" s="4">
        <f t="shared" si="120"/>
        <v>3.5973292831222976E+84</v>
      </c>
      <c r="G1927" s="4">
        <f t="shared" si="121"/>
        <v>3.5973292831222976E+84</v>
      </c>
      <c r="H1927" s="4">
        <f>SalaryFTECount*SalaryPerFTE*(1+SalaryGrowth)^1925</f>
        <v>1.2924014746605777E+38</v>
      </c>
      <c r="I1927" s="4">
        <f>SimOpsY1*(1+SimOpsGrowth)^1925</f>
        <v>6.5743158807568466E+68</v>
      </c>
      <c r="J1927" s="4">
        <f>TrainDevY1*(1+TrainDevGrowth)^1925</f>
        <v>3.2871579403784233E+68</v>
      </c>
      <c r="K1927" s="4">
        <f>AdminY1*(1+AdminGrowth)^1925</f>
        <v>1.0347147268620187E+53</v>
      </c>
      <c r="L1927" s="4">
        <f t="shared" si="122"/>
        <v>9.8614738211352723E+68</v>
      </c>
      <c r="M1927" s="4">
        <f t="shared" si="123"/>
        <v>3.5973292831222967E+84</v>
      </c>
    </row>
    <row r="1928" spans="1:13" x14ac:dyDescent="0.2">
      <c r="A1928" s="3">
        <f>StartYear+1926</f>
        <v>3951</v>
      </c>
      <c r="B1928" s="4">
        <f>FacultyFTE*HoursPerWeek*WeeksPerYear*RatePerHour*(1+PracticeGrowth)^1926</f>
        <v>1.8620120897504727E+46</v>
      </c>
      <c r="C1928" s="4">
        <f>StudentsY1*(1+StudentGrowth)^1926*CreditsPerStudent*TuitionPerCredit</f>
        <v>1.1637575560940457E+47</v>
      </c>
      <c r="D1928" s="4">
        <f>SimRevY1*(1+SimGrowth)^1926</f>
        <v>2.6380414742896851E+84</v>
      </c>
      <c r="E1928" s="4">
        <f>FacDevRevY1*(1+FacDevGrowth)^1926</f>
        <v>1.3190207371448425E+84</v>
      </c>
      <c r="F1928" s="4">
        <f t="shared" si="120"/>
        <v>3.9570622114345274E+84</v>
      </c>
      <c r="G1928" s="4">
        <f t="shared" si="121"/>
        <v>3.9570622114345274E+84</v>
      </c>
      <c r="H1928" s="4">
        <f>SalaryFTECount*SalaryPerFTE*(1+SalaryGrowth)^1926</f>
        <v>1.344097533647001E+38</v>
      </c>
      <c r="I1928" s="4">
        <f>SimOpsY1*(1+SimOpsGrowth)^1926</f>
        <v>7.1002611512173937E+68</v>
      </c>
      <c r="J1928" s="4">
        <f>TrainDevY1*(1+TrainDevGrowth)^1926</f>
        <v>3.5501305756086968E+68</v>
      </c>
      <c r="K1928" s="4">
        <f>AdminY1*(1+AdminGrowth)^1926</f>
        <v>1.0967976104737399E+53</v>
      </c>
      <c r="L1928" s="4">
        <f t="shared" si="122"/>
        <v>1.0650391726826093E+69</v>
      </c>
      <c r="M1928" s="4">
        <f t="shared" si="123"/>
        <v>3.9570622114345265E+84</v>
      </c>
    </row>
    <row r="1929" spans="1:13" x14ac:dyDescent="0.2">
      <c r="A1929" s="3">
        <f>StartYear+1927</f>
        <v>3952</v>
      </c>
      <c r="B1929" s="4">
        <f>FacultyFTE*HoursPerWeek*WeeksPerYear*RatePerHour*(1+PracticeGrowth)^1927</f>
        <v>1.9551126942379965E+46</v>
      </c>
      <c r="C1929" s="4">
        <f>StudentsY1*(1+StudentGrowth)^1927*CreditsPerStudent*TuitionPerCredit</f>
        <v>1.2219454338987479E+47</v>
      </c>
      <c r="D1929" s="4">
        <f>SimRevY1*(1+SimGrowth)^1927</f>
        <v>2.9018456217186539E+84</v>
      </c>
      <c r="E1929" s="4">
        <f>FacDevRevY1*(1+FacDevGrowth)^1927</f>
        <v>1.4509228108593269E+84</v>
      </c>
      <c r="F1929" s="4">
        <f t="shared" si="120"/>
        <v>4.3527684325779812E+84</v>
      </c>
      <c r="G1929" s="4">
        <f t="shared" si="121"/>
        <v>4.3527684325779812E+84</v>
      </c>
      <c r="H1929" s="4">
        <f>SalaryFTECount*SalaryPerFTE*(1+SalaryGrowth)^1927</f>
        <v>1.3978614349928807E+38</v>
      </c>
      <c r="I1929" s="4">
        <f>SimOpsY1*(1+SimOpsGrowth)^1927</f>
        <v>7.6682820433147874E+68</v>
      </c>
      <c r="J1929" s="4">
        <f>TrainDevY1*(1+TrainDevGrowth)^1927</f>
        <v>3.8341410216573937E+68</v>
      </c>
      <c r="K1929" s="4">
        <f>AdminY1*(1+AdminGrowth)^1927</f>
        <v>1.1626054671021645E+53</v>
      </c>
      <c r="L1929" s="4">
        <f t="shared" si="122"/>
        <v>1.1502423064972182E+69</v>
      </c>
      <c r="M1929" s="4">
        <f t="shared" si="123"/>
        <v>4.3527684325779804E+84</v>
      </c>
    </row>
    <row r="1930" spans="1:13" x14ac:dyDescent="0.2">
      <c r="A1930" s="3">
        <f>StartYear+1928</f>
        <v>3953</v>
      </c>
      <c r="B1930" s="4">
        <f>FacultyFTE*HoursPerWeek*WeeksPerYear*RatePerHour*(1+PracticeGrowth)^1928</f>
        <v>2.0528683289498968E+46</v>
      </c>
      <c r="C1930" s="4">
        <f>StudentsY1*(1+StudentGrowth)^1928*CreditsPerStudent*TuitionPerCredit</f>
        <v>1.2830427055936855E+47</v>
      </c>
      <c r="D1930" s="4">
        <f>SimRevY1*(1+SimGrowth)^1928</f>
        <v>3.1920301838905196E+84</v>
      </c>
      <c r="E1930" s="4">
        <f>FacDevRevY1*(1+FacDevGrowth)^1928</f>
        <v>1.5960150919452598E+84</v>
      </c>
      <c r="F1930" s="4">
        <f t="shared" si="120"/>
        <v>4.7880452758357792E+84</v>
      </c>
      <c r="G1930" s="4">
        <f t="shared" si="121"/>
        <v>4.7880452758357792E+84</v>
      </c>
      <c r="H1930" s="4">
        <f>SalaryFTECount*SalaryPerFTE*(1+SalaryGrowth)^1928</f>
        <v>1.453775892392596E+38</v>
      </c>
      <c r="I1930" s="4">
        <f>SimOpsY1*(1+SimOpsGrowth)^1928</f>
        <v>8.2817446067799686E+68</v>
      </c>
      <c r="J1930" s="4">
        <f>TrainDevY1*(1+TrainDevGrowth)^1928</f>
        <v>4.1408723033899843E+68</v>
      </c>
      <c r="K1930" s="4">
        <f>AdminY1*(1+AdminGrowth)^1928</f>
        <v>1.2323617951282941E+53</v>
      </c>
      <c r="L1930" s="4">
        <f t="shared" si="122"/>
        <v>1.2422616910169956E+69</v>
      </c>
      <c r="M1930" s="4">
        <f t="shared" si="123"/>
        <v>4.7880452758357783E+84</v>
      </c>
    </row>
    <row r="1931" spans="1:13" x14ac:dyDescent="0.2">
      <c r="A1931" s="3">
        <f>StartYear+1929</f>
        <v>3954</v>
      </c>
      <c r="B1931" s="4">
        <f>FacultyFTE*HoursPerWeek*WeeksPerYear*RatePerHour*(1+PracticeGrowth)^1929</f>
        <v>2.1555117453973913E+46</v>
      </c>
      <c r="C1931" s="4">
        <f>StudentsY1*(1+StudentGrowth)^1929*CreditsPerStudent*TuitionPerCredit</f>
        <v>1.3471948408733695E+47</v>
      </c>
      <c r="D1931" s="4">
        <f>SimRevY1*(1+SimGrowth)^1929</f>
        <v>3.5112332022795713E+84</v>
      </c>
      <c r="E1931" s="4">
        <f>FacDevRevY1*(1+FacDevGrowth)^1929</f>
        <v>1.7556166011397857E+84</v>
      </c>
      <c r="F1931" s="4">
        <f t="shared" si="120"/>
        <v>5.2668498034193566E+84</v>
      </c>
      <c r="G1931" s="4">
        <f t="shared" si="121"/>
        <v>5.2668498034193566E+84</v>
      </c>
      <c r="H1931" s="4">
        <f>SalaryFTECount*SalaryPerFTE*(1+SalaryGrowth)^1929</f>
        <v>1.5119269280883003E+38</v>
      </c>
      <c r="I1931" s="4">
        <f>SimOpsY1*(1+SimOpsGrowth)^1929</f>
        <v>8.9442841753223686E+68</v>
      </c>
      <c r="J1931" s="4">
        <f>TrainDevY1*(1+TrainDevGrowth)^1929</f>
        <v>4.4721420876611843E+68</v>
      </c>
      <c r="K1931" s="4">
        <f>AdminY1*(1+AdminGrowth)^1929</f>
        <v>1.3063035028359917E+53</v>
      </c>
      <c r="L1931" s="4">
        <f t="shared" si="122"/>
        <v>1.3416426262983555E+69</v>
      </c>
      <c r="M1931" s="4">
        <f t="shared" si="123"/>
        <v>5.2668498034193548E+84</v>
      </c>
    </row>
    <row r="1932" spans="1:13" x14ac:dyDescent="0.2">
      <c r="A1932" s="3">
        <f>StartYear+1930</f>
        <v>3955</v>
      </c>
      <c r="B1932" s="4">
        <f>FacultyFTE*HoursPerWeek*WeeksPerYear*RatePerHour*(1+PracticeGrowth)^1930</f>
        <v>2.263287332667261E+46</v>
      </c>
      <c r="C1932" s="4">
        <f>StudentsY1*(1+StudentGrowth)^1930*CreditsPerStudent*TuitionPerCredit</f>
        <v>1.4145545829170381E+47</v>
      </c>
      <c r="D1932" s="4">
        <f>SimRevY1*(1+SimGrowth)^1930</f>
        <v>3.8623565225075294E+84</v>
      </c>
      <c r="E1932" s="4">
        <f>FacDevRevY1*(1+FacDevGrowth)^1930</f>
        <v>1.9311782612537647E+84</v>
      </c>
      <c r="F1932" s="4">
        <f t="shared" si="120"/>
        <v>5.7935347837612941E+84</v>
      </c>
      <c r="G1932" s="4">
        <f t="shared" si="121"/>
        <v>5.7935347837612941E+84</v>
      </c>
      <c r="H1932" s="4">
        <f>SalaryFTECount*SalaryPerFTE*(1+SalaryGrowth)^1930</f>
        <v>1.5724040052118324E+38</v>
      </c>
      <c r="I1932" s="4">
        <f>SimOpsY1*(1+SimOpsGrowth)^1930</f>
        <v>9.6598269093481578E+68</v>
      </c>
      <c r="J1932" s="4">
        <f>TrainDevY1*(1+TrainDevGrowth)^1930</f>
        <v>4.8299134546740789E+68</v>
      </c>
      <c r="K1932" s="4">
        <f>AdminY1*(1+AdminGrowth)^1930</f>
        <v>1.3846817130061516E+53</v>
      </c>
      <c r="L1932" s="4">
        <f t="shared" si="122"/>
        <v>1.448974036402224E+69</v>
      </c>
      <c r="M1932" s="4">
        <f t="shared" si="123"/>
        <v>5.7935347837612924E+84</v>
      </c>
    </row>
    <row r="1933" spans="1:13" x14ac:dyDescent="0.2">
      <c r="A1933" s="3">
        <f>StartYear+1931</f>
        <v>3956</v>
      </c>
      <c r="B1933" s="4">
        <f>FacultyFTE*HoursPerWeek*WeeksPerYear*RatePerHour*(1+PracticeGrowth)^1931</f>
        <v>2.376451699300624E+46</v>
      </c>
      <c r="C1933" s="4">
        <f>StudentsY1*(1+StudentGrowth)^1931*CreditsPerStudent*TuitionPerCredit</f>
        <v>1.4852823120628901E+47</v>
      </c>
      <c r="D1933" s="4">
        <f>SimRevY1*(1+SimGrowth)^1931</f>
        <v>4.2485921747582815E+84</v>
      </c>
      <c r="E1933" s="4">
        <f>FacDevRevY1*(1+FacDevGrowth)^1931</f>
        <v>2.1242960873791407E+84</v>
      </c>
      <c r="F1933" s="4">
        <f t="shared" si="120"/>
        <v>6.3728882621374222E+84</v>
      </c>
      <c r="G1933" s="4">
        <f t="shared" si="121"/>
        <v>6.3728882621374222E+84</v>
      </c>
      <c r="H1933" s="4">
        <f>SalaryFTECount*SalaryPerFTE*(1+SalaryGrowth)^1931</f>
        <v>1.6353001654203055E+38</v>
      </c>
      <c r="I1933" s="4">
        <f>SimOpsY1*(1+SimOpsGrowth)^1931</f>
        <v>1.043261306209601E+69</v>
      </c>
      <c r="J1933" s="4">
        <f>TrainDevY1*(1+TrainDevGrowth)^1931</f>
        <v>5.216306531048005E+68</v>
      </c>
      <c r="K1933" s="4">
        <f>AdminY1*(1+AdminGrowth)^1931</f>
        <v>1.4677626157865207E+53</v>
      </c>
      <c r="L1933" s="4">
        <f t="shared" si="122"/>
        <v>1.5648919593144018E+69</v>
      </c>
      <c r="M1933" s="4">
        <f t="shared" si="123"/>
        <v>6.3728882621374205E+84</v>
      </c>
    </row>
    <row r="1934" spans="1:13" x14ac:dyDescent="0.2">
      <c r="A1934" s="3">
        <f>StartYear+1932</f>
        <v>3957</v>
      </c>
      <c r="B1934" s="4">
        <f>FacultyFTE*HoursPerWeek*WeeksPerYear*RatePerHour*(1+PracticeGrowth)^1932</f>
        <v>2.4952742842656553E+46</v>
      </c>
      <c r="C1934" s="4">
        <f>StudentsY1*(1+StudentGrowth)^1932*CreditsPerStudent*TuitionPerCredit</f>
        <v>1.5595464276660345E+47</v>
      </c>
      <c r="D1934" s="4">
        <f>SimRevY1*(1+SimGrowth)^1932</f>
        <v>4.6734513922341107E+84</v>
      </c>
      <c r="E1934" s="4">
        <f>FacDevRevY1*(1+FacDevGrowth)^1932</f>
        <v>2.3367256961170553E+84</v>
      </c>
      <c r="F1934" s="4">
        <f t="shared" si="120"/>
        <v>7.0101770883511664E+84</v>
      </c>
      <c r="G1934" s="4">
        <f t="shared" si="121"/>
        <v>7.0101770883511664E+84</v>
      </c>
      <c r="H1934" s="4">
        <f>SalaryFTECount*SalaryPerFTE*(1+SalaryGrowth)^1932</f>
        <v>1.7007121720371182E+38</v>
      </c>
      <c r="I1934" s="4">
        <f>SimOpsY1*(1+SimOpsGrowth)^1932</f>
        <v>1.1267222107063691E+69</v>
      </c>
      <c r="J1934" s="4">
        <f>TrainDevY1*(1+TrainDevGrowth)^1932</f>
        <v>5.6336110535318453E+68</v>
      </c>
      <c r="K1934" s="4">
        <f>AdminY1*(1+AdminGrowth)^1932</f>
        <v>1.555828372733712E+53</v>
      </c>
      <c r="L1934" s="4">
        <f t="shared" si="122"/>
        <v>1.6900833160595538E+69</v>
      </c>
      <c r="M1934" s="4">
        <f t="shared" si="123"/>
        <v>7.0101770883511647E+84</v>
      </c>
    </row>
    <row r="1935" spans="1:13" x14ac:dyDescent="0.2">
      <c r="A1935" s="3">
        <f>StartYear+1933</f>
        <v>3958</v>
      </c>
      <c r="B1935" s="4">
        <f>FacultyFTE*HoursPerWeek*WeeksPerYear*RatePerHour*(1+PracticeGrowth)^1933</f>
        <v>2.6200379984789383E+46</v>
      </c>
      <c r="C1935" s="4">
        <f>StudentsY1*(1+StudentGrowth)^1933*CreditsPerStudent*TuitionPerCredit</f>
        <v>1.6375237490493362E+47</v>
      </c>
      <c r="D1935" s="4">
        <f>SimRevY1*(1+SimGrowth)^1933</f>
        <v>5.1407965314575213E+84</v>
      </c>
      <c r="E1935" s="4">
        <f>FacDevRevY1*(1+FacDevGrowth)^1933</f>
        <v>2.5703982657287607E+84</v>
      </c>
      <c r="F1935" s="4">
        <f t="shared" si="120"/>
        <v>7.7111947971862815E+84</v>
      </c>
      <c r="G1935" s="4">
        <f t="shared" si="121"/>
        <v>7.7111947971862815E+84</v>
      </c>
      <c r="H1935" s="4">
        <f>SalaryFTECount*SalaryPerFTE*(1+SalaryGrowth)^1933</f>
        <v>1.7687406589186028E+38</v>
      </c>
      <c r="I1935" s="4">
        <f>SimOpsY1*(1+SimOpsGrowth)^1933</f>
        <v>1.2168599875628789E+69</v>
      </c>
      <c r="J1935" s="4">
        <f>TrainDevY1*(1+TrainDevGrowth)^1933</f>
        <v>6.0842999378143944E+68</v>
      </c>
      <c r="K1935" s="4">
        <f>AdminY1*(1+AdminGrowth)^1933</f>
        <v>1.649178075097735E+53</v>
      </c>
      <c r="L1935" s="4">
        <f t="shared" si="122"/>
        <v>1.8252899813443185E+69</v>
      </c>
      <c r="M1935" s="4">
        <f t="shared" si="123"/>
        <v>7.7111947971862798E+84</v>
      </c>
    </row>
    <row r="1936" spans="1:13" x14ac:dyDescent="0.2">
      <c r="A1936" s="3">
        <f>StartYear+1934</f>
        <v>3959</v>
      </c>
      <c r="B1936" s="4">
        <f>FacultyFTE*HoursPerWeek*WeeksPerYear*RatePerHour*(1+PracticeGrowth)^1934</f>
        <v>2.7510398984028847E+46</v>
      </c>
      <c r="C1936" s="4">
        <f>StudentsY1*(1+StudentGrowth)^1934*CreditsPerStudent*TuitionPerCredit</f>
        <v>1.719399936501803E+47</v>
      </c>
      <c r="D1936" s="4">
        <f>SimRevY1*(1+SimGrowth)^1934</f>
        <v>5.6548761846032756E+84</v>
      </c>
      <c r="E1936" s="4">
        <f>FacDevRevY1*(1+FacDevGrowth)^1934</f>
        <v>2.8274380923016378E+84</v>
      </c>
      <c r="F1936" s="4">
        <f t="shared" si="120"/>
        <v>8.482314276904913E+84</v>
      </c>
      <c r="G1936" s="4">
        <f t="shared" si="121"/>
        <v>8.482314276904913E+84</v>
      </c>
      <c r="H1936" s="4">
        <f>SalaryFTECount*SalaryPerFTE*(1+SalaryGrowth)^1934</f>
        <v>1.8394902852753468E+38</v>
      </c>
      <c r="I1936" s="4">
        <f>SimOpsY1*(1+SimOpsGrowth)^1934</f>
        <v>1.3142087865679094E+69</v>
      </c>
      <c r="J1936" s="4">
        <f>TrainDevY1*(1+TrainDevGrowth)^1934</f>
        <v>6.5710439328395472E+68</v>
      </c>
      <c r="K1936" s="4">
        <f>AdminY1*(1+AdminGrowth)^1934</f>
        <v>1.7481287596035992E+53</v>
      </c>
      <c r="L1936" s="4">
        <f t="shared" si="122"/>
        <v>1.9713131798518641E+69</v>
      </c>
      <c r="M1936" s="4">
        <f t="shared" si="123"/>
        <v>8.4823142769049112E+84</v>
      </c>
    </row>
    <row r="1937" spans="1:13" x14ac:dyDescent="0.2">
      <c r="A1937" s="3">
        <f>StartYear+1935</f>
        <v>3960</v>
      </c>
      <c r="B1937" s="4">
        <f>FacultyFTE*HoursPerWeek*WeeksPerYear*RatePerHour*(1+PracticeGrowth)^1935</f>
        <v>2.8885918933230297E+46</v>
      </c>
      <c r="C1937" s="4">
        <f>StudentsY1*(1+StudentGrowth)^1935*CreditsPerStudent*TuitionPerCredit</f>
        <v>1.8053699333268938E+47</v>
      </c>
      <c r="D1937" s="4">
        <f>SimRevY1*(1+SimGrowth)^1935</f>
        <v>6.2203638030636027E+84</v>
      </c>
      <c r="E1937" s="4">
        <f>FacDevRevY1*(1+FacDevGrowth)^1935</f>
        <v>3.1101819015318014E+84</v>
      </c>
      <c r="F1937" s="4">
        <f t="shared" si="120"/>
        <v>9.3305457045954041E+84</v>
      </c>
      <c r="G1937" s="4">
        <f t="shared" si="121"/>
        <v>9.3305457045954041E+84</v>
      </c>
      <c r="H1937" s="4">
        <f>SalaryFTECount*SalaryPerFTE*(1+SalaryGrowth)^1935</f>
        <v>1.9130698966863607E+38</v>
      </c>
      <c r="I1937" s="4">
        <f>SimOpsY1*(1+SimOpsGrowth)^1935</f>
        <v>1.419345489493342E+69</v>
      </c>
      <c r="J1937" s="4">
        <f>TrainDevY1*(1+TrainDevGrowth)^1935</f>
        <v>7.0967274474667101E+68</v>
      </c>
      <c r="K1937" s="4">
        <f>AdminY1*(1+AdminGrowth)^1935</f>
        <v>1.8530164851798156E+53</v>
      </c>
      <c r="L1937" s="4">
        <f t="shared" si="122"/>
        <v>2.1290182342400128E+69</v>
      </c>
      <c r="M1937" s="4">
        <f t="shared" si="123"/>
        <v>9.3305457045954024E+84</v>
      </c>
    </row>
    <row r="1938" spans="1:13" x14ac:dyDescent="0.2">
      <c r="A1938" s="3">
        <f>StartYear+1936</f>
        <v>3961</v>
      </c>
      <c r="B1938" s="4">
        <f>FacultyFTE*HoursPerWeek*WeeksPerYear*RatePerHour*(1+PracticeGrowth)^1936</f>
        <v>3.0330214879891801E+46</v>
      </c>
      <c r="C1938" s="4">
        <f>StudentsY1*(1+StudentGrowth)^1936*CreditsPerStudent*TuitionPerCredit</f>
        <v>1.8956384299932378E+47</v>
      </c>
      <c r="D1938" s="4">
        <f>SimRevY1*(1+SimGrowth)^1936</f>
        <v>6.8424001833699625E+84</v>
      </c>
      <c r="E1938" s="4">
        <f>FacDevRevY1*(1+FacDevGrowth)^1936</f>
        <v>3.4212000916849812E+84</v>
      </c>
      <c r="F1938" s="4">
        <f t="shared" si="120"/>
        <v>1.0263600275054943E+85</v>
      </c>
      <c r="G1938" s="4">
        <f t="shared" si="121"/>
        <v>1.0263600275054943E+85</v>
      </c>
      <c r="H1938" s="4">
        <f>SalaryFTECount*SalaryPerFTE*(1+SalaryGrowth)^1936</f>
        <v>1.9895926925538152E+38</v>
      </c>
      <c r="I1938" s="4">
        <f>SimOpsY1*(1+SimOpsGrowth)^1936</f>
        <v>1.5328931286528095E+69</v>
      </c>
      <c r="J1938" s="4">
        <f>TrainDevY1*(1+TrainDevGrowth)^1936</f>
        <v>7.6644656432640476E+68</v>
      </c>
      <c r="K1938" s="4">
        <f>AdminY1*(1+AdminGrowth)^1936</f>
        <v>1.9641974742906042E+53</v>
      </c>
      <c r="L1938" s="4">
        <f t="shared" si="122"/>
        <v>2.2993396929792147E+69</v>
      </c>
      <c r="M1938" s="4">
        <f t="shared" si="123"/>
        <v>1.0263600275054942E+85</v>
      </c>
    </row>
    <row r="1939" spans="1:13" x14ac:dyDescent="0.2">
      <c r="A1939" s="3">
        <f>StartYear+1937</f>
        <v>3962</v>
      </c>
      <c r="B1939" s="4">
        <f>FacultyFTE*HoursPerWeek*WeeksPerYear*RatePerHour*(1+PracticeGrowth)^1937</f>
        <v>3.1846725623886403E+46</v>
      </c>
      <c r="C1939" s="4">
        <f>StudentsY1*(1+StudentGrowth)^1937*CreditsPerStudent*TuitionPerCredit</f>
        <v>1.9904203514929002E+47</v>
      </c>
      <c r="D1939" s="4">
        <f>SimRevY1*(1+SimGrowth)^1937</f>
        <v>7.5266402017069588E+84</v>
      </c>
      <c r="E1939" s="4">
        <f>FacDevRevY1*(1+FacDevGrowth)^1937</f>
        <v>3.7633201008534794E+84</v>
      </c>
      <c r="F1939" s="4">
        <f t="shared" si="120"/>
        <v>1.1289960302560438E+85</v>
      </c>
      <c r="G1939" s="4">
        <f t="shared" si="121"/>
        <v>1.1289960302560438E+85</v>
      </c>
      <c r="H1939" s="4">
        <f>SalaryFTECount*SalaryPerFTE*(1+SalaryGrowth)^1937</f>
        <v>2.0691764002559683E+38</v>
      </c>
      <c r="I1939" s="4">
        <f>SimOpsY1*(1+SimOpsGrowth)^1937</f>
        <v>1.655524578945034E+69</v>
      </c>
      <c r="J1939" s="4">
        <f>TrainDevY1*(1+TrainDevGrowth)^1937</f>
        <v>8.2776228947251699E+68</v>
      </c>
      <c r="K1939" s="4">
        <f>AdminY1*(1+AdminGrowth)^1937</f>
        <v>2.0820493227480403E+53</v>
      </c>
      <c r="L1939" s="4">
        <f t="shared" si="122"/>
        <v>2.4832868684175514E+69</v>
      </c>
      <c r="M1939" s="4">
        <f t="shared" si="123"/>
        <v>1.1289960302560436E+85</v>
      </c>
    </row>
    <row r="1940" spans="1:13" x14ac:dyDescent="0.2">
      <c r="A1940" s="3">
        <f>StartYear+1938</f>
        <v>3963</v>
      </c>
      <c r="B1940" s="4">
        <f>FacultyFTE*HoursPerWeek*WeeksPerYear*RatePerHour*(1+PracticeGrowth)^1938</f>
        <v>3.343906190508072E+46</v>
      </c>
      <c r="C1940" s="4">
        <f>StudentsY1*(1+StudentGrowth)^1938*CreditsPerStudent*TuitionPerCredit</f>
        <v>2.0899413690675451E+47</v>
      </c>
      <c r="D1940" s="4">
        <f>SimRevY1*(1+SimGrowth)^1938</f>
        <v>8.2793042218776553E+84</v>
      </c>
      <c r="E1940" s="4">
        <f>FacDevRevY1*(1+FacDevGrowth)^1938</f>
        <v>4.1396521109388277E+84</v>
      </c>
      <c r="F1940" s="4">
        <f t="shared" si="120"/>
        <v>1.2418956332816483E+85</v>
      </c>
      <c r="G1940" s="4">
        <f t="shared" si="121"/>
        <v>1.2418956332816483E+85</v>
      </c>
      <c r="H1940" s="4">
        <f>SalaryFTECount*SalaryPerFTE*(1+SalaryGrowth)^1938</f>
        <v>2.1519434562662066E+38</v>
      </c>
      <c r="I1940" s="4">
        <f>SimOpsY1*(1+SimOpsGrowth)^1938</f>
        <v>1.7879665452606369E+69</v>
      </c>
      <c r="J1940" s="4">
        <f>TrainDevY1*(1+TrainDevGrowth)^1938</f>
        <v>8.9398327263031844E+68</v>
      </c>
      <c r="K1940" s="4">
        <f>AdminY1*(1+AdminGrowth)^1938</f>
        <v>2.2069722821129228E+53</v>
      </c>
      <c r="L1940" s="4">
        <f t="shared" si="122"/>
        <v>2.6819498178909557E+69</v>
      </c>
      <c r="M1940" s="4">
        <f t="shared" si="123"/>
        <v>1.241895633281648E+85</v>
      </c>
    </row>
    <row r="1941" spans="1:13" x14ac:dyDescent="0.2">
      <c r="A1941" s="3">
        <f>StartYear+1939</f>
        <v>3964</v>
      </c>
      <c r="B1941" s="4">
        <f>FacultyFTE*HoursPerWeek*WeeksPerYear*RatePerHour*(1+PracticeGrowth)^1939</f>
        <v>3.5111015000334761E+46</v>
      </c>
      <c r="C1941" s="4">
        <f>StudentsY1*(1+StudentGrowth)^1939*CreditsPerStudent*TuitionPerCredit</f>
        <v>2.1944384375209224E+47</v>
      </c>
      <c r="D1941" s="4">
        <f>SimRevY1*(1+SimGrowth)^1939</f>
        <v>9.1072346440654233E+84</v>
      </c>
      <c r="E1941" s="4">
        <f>FacDevRevY1*(1+FacDevGrowth)^1939</f>
        <v>4.5536173220327116E+84</v>
      </c>
      <c r="F1941" s="4">
        <f t="shared" si="120"/>
        <v>1.3660851966098135E+85</v>
      </c>
      <c r="G1941" s="4">
        <f t="shared" si="121"/>
        <v>1.3660851966098135E+85</v>
      </c>
      <c r="H1941" s="4">
        <f>SalaryFTECount*SalaryPerFTE*(1+SalaryGrowth)^1939</f>
        <v>2.2380211945168555E+38</v>
      </c>
      <c r="I1941" s="4">
        <f>SimOpsY1*(1+SimOpsGrowth)^1939</f>
        <v>1.9310038688814883E+69</v>
      </c>
      <c r="J1941" s="4">
        <f>TrainDevY1*(1+TrainDevGrowth)^1939</f>
        <v>9.6550193444074414E+68</v>
      </c>
      <c r="K1941" s="4">
        <f>AdminY1*(1+AdminGrowth)^1939</f>
        <v>2.3393906190396988E+53</v>
      </c>
      <c r="L1941" s="4">
        <f t="shared" si="122"/>
        <v>2.896505803322233E+69</v>
      </c>
      <c r="M1941" s="4">
        <f t="shared" si="123"/>
        <v>1.3660851966098131E+85</v>
      </c>
    </row>
    <row r="1942" spans="1:13" x14ac:dyDescent="0.2">
      <c r="A1942" s="3">
        <f>StartYear+1940</f>
        <v>3965</v>
      </c>
      <c r="B1942" s="4">
        <f>FacultyFTE*HoursPerWeek*WeeksPerYear*RatePerHour*(1+PracticeGrowth)^1940</f>
        <v>3.6866565750351497E+46</v>
      </c>
      <c r="C1942" s="4">
        <f>StudentsY1*(1+StudentGrowth)^1940*CreditsPerStudent*TuitionPerCredit</f>
        <v>2.3041603593969683E+47</v>
      </c>
      <c r="D1942" s="4">
        <f>SimRevY1*(1+SimGrowth)^1940</f>
        <v>1.0017958108471965E+85</v>
      </c>
      <c r="E1942" s="4">
        <f>FacDevRevY1*(1+FacDevGrowth)^1940</f>
        <v>5.0089790542359826E+84</v>
      </c>
      <c r="F1942" s="4">
        <f t="shared" si="120"/>
        <v>1.5026937162707948E+85</v>
      </c>
      <c r="G1942" s="4">
        <f t="shared" si="121"/>
        <v>1.5026937162707948E+85</v>
      </c>
      <c r="H1942" s="4">
        <f>SalaryFTECount*SalaryPerFTE*(1+SalaryGrowth)^1940</f>
        <v>2.3275420422975296E+38</v>
      </c>
      <c r="I1942" s="4">
        <f>SimOpsY1*(1+SimOpsGrowth)^1940</f>
        <v>2.085484178392007E+69</v>
      </c>
      <c r="J1942" s="4">
        <f>TrainDevY1*(1+TrainDevGrowth)^1940</f>
        <v>1.0427420891960035E+69</v>
      </c>
      <c r="K1942" s="4">
        <f>AdminY1*(1+AdminGrowth)^1940</f>
        <v>2.4797540561820801E+53</v>
      </c>
      <c r="L1942" s="4">
        <f t="shared" si="122"/>
        <v>3.1282262675880108E+69</v>
      </c>
      <c r="M1942" s="4">
        <f t="shared" si="123"/>
        <v>1.5026937162707944E+85</v>
      </c>
    </row>
    <row r="1943" spans="1:13" x14ac:dyDescent="0.2">
      <c r="A1943" s="3">
        <f>StartYear+1941</f>
        <v>3966</v>
      </c>
      <c r="B1943" s="4">
        <f>FacultyFTE*HoursPerWeek*WeeksPerYear*RatePerHour*(1+PracticeGrowth)^1941</f>
        <v>3.8709894037869072E+46</v>
      </c>
      <c r="C1943" s="4">
        <f>StudentsY1*(1+StudentGrowth)^1941*CreditsPerStudent*TuitionPerCredit</f>
        <v>2.419368377366817E+47</v>
      </c>
      <c r="D1943" s="4">
        <f>SimRevY1*(1+SimGrowth)^1941</f>
        <v>1.101975391931916E+85</v>
      </c>
      <c r="E1943" s="4">
        <f>FacDevRevY1*(1+FacDevGrowth)^1941</f>
        <v>5.5098769596595802E+84</v>
      </c>
      <c r="F1943" s="4">
        <f t="shared" si="120"/>
        <v>1.6529630878978741E+85</v>
      </c>
      <c r="G1943" s="4">
        <f t="shared" si="121"/>
        <v>1.6529630878978741E+85</v>
      </c>
      <c r="H1943" s="4">
        <f>SalaryFTECount*SalaryPerFTE*(1+SalaryGrowth)^1941</f>
        <v>2.4206437239894315E+38</v>
      </c>
      <c r="I1943" s="4">
        <f>SimOpsY1*(1+SimOpsGrowth)^1941</f>
        <v>2.2523229126633679E+69</v>
      </c>
      <c r="J1943" s="4">
        <f>TrainDevY1*(1+TrainDevGrowth)^1941</f>
        <v>1.1261614563316839E+69</v>
      </c>
      <c r="K1943" s="4">
        <f>AdminY1*(1+AdminGrowth)^1941</f>
        <v>2.6285392995530055E+53</v>
      </c>
      <c r="L1943" s="4">
        <f t="shared" si="122"/>
        <v>3.3784843689950522E+69</v>
      </c>
      <c r="M1943" s="4">
        <f t="shared" si="123"/>
        <v>1.6529630878978737E+85</v>
      </c>
    </row>
    <row r="1944" spans="1:13" x14ac:dyDescent="0.2">
      <c r="A1944" s="3">
        <f>StartYear+1942</f>
        <v>3967</v>
      </c>
      <c r="B1944" s="4">
        <f>FacultyFTE*HoursPerWeek*WeeksPerYear*RatePerHour*(1+PracticeGrowth)^1942</f>
        <v>4.0645388739762518E+46</v>
      </c>
      <c r="C1944" s="4">
        <f>StudentsY1*(1+StudentGrowth)^1942*CreditsPerStudent*TuitionPerCredit</f>
        <v>2.5403367962351571E+47</v>
      </c>
      <c r="D1944" s="4">
        <f>SimRevY1*(1+SimGrowth)^1942</f>
        <v>1.212172931125108E+85</v>
      </c>
      <c r="E1944" s="4">
        <f>FacDevRevY1*(1+FacDevGrowth)^1942</f>
        <v>6.0608646556255399E+84</v>
      </c>
      <c r="F1944" s="4">
        <f t="shared" si="120"/>
        <v>1.818259396687662E+85</v>
      </c>
      <c r="G1944" s="4">
        <f t="shared" si="121"/>
        <v>1.818259396687662E+85</v>
      </c>
      <c r="H1944" s="4">
        <f>SalaryFTECount*SalaryPerFTE*(1+SalaryGrowth)^1942</f>
        <v>2.5174694729490087E+38</v>
      </c>
      <c r="I1944" s="4">
        <f>SimOpsY1*(1+SimOpsGrowth)^1942</f>
        <v>2.432508745676438E+69</v>
      </c>
      <c r="J1944" s="4">
        <f>TrainDevY1*(1+TrainDevGrowth)^1942</f>
        <v>1.216254372838219E+69</v>
      </c>
      <c r="K1944" s="4">
        <f>AdminY1*(1+AdminGrowth)^1942</f>
        <v>2.7862516575261864E+53</v>
      </c>
      <c r="L1944" s="4">
        <f t="shared" si="122"/>
        <v>3.6487631185146568E+69</v>
      </c>
      <c r="M1944" s="4">
        <f t="shared" si="123"/>
        <v>1.8182593966876616E+85</v>
      </c>
    </row>
    <row r="1945" spans="1:13" x14ac:dyDescent="0.2">
      <c r="A1945" s="3">
        <f>StartYear+1943</f>
        <v>3968</v>
      </c>
      <c r="B1945" s="4">
        <f>FacultyFTE*HoursPerWeek*WeeksPerYear*RatePerHour*(1+PracticeGrowth)^1943</f>
        <v>4.2677658176750658E+46</v>
      </c>
      <c r="C1945" s="4">
        <f>StudentsY1*(1+StudentGrowth)^1943*CreditsPerStudent*TuitionPerCredit</f>
        <v>2.6673536360469159E+47</v>
      </c>
      <c r="D1945" s="4">
        <f>SimRevY1*(1+SimGrowth)^1943</f>
        <v>1.3333902242376189E+85</v>
      </c>
      <c r="E1945" s="4">
        <f>FacDevRevY1*(1+FacDevGrowth)^1943</f>
        <v>6.6669511211880944E+84</v>
      </c>
      <c r="F1945" s="4">
        <f t="shared" si="120"/>
        <v>2.0000853363564284E+85</v>
      </c>
      <c r="G1945" s="4">
        <f t="shared" si="121"/>
        <v>2.0000853363564284E+85</v>
      </c>
      <c r="H1945" s="4">
        <f>SalaryFTECount*SalaryPerFTE*(1+SalaryGrowth)^1943</f>
        <v>2.6181682518669686E+38</v>
      </c>
      <c r="I1945" s="4">
        <f>SimOpsY1*(1+SimOpsGrowth)^1943</f>
        <v>2.6271094453305529E+69</v>
      </c>
      <c r="J1945" s="4">
        <f>TrainDevY1*(1+TrainDevGrowth)^1943</f>
        <v>1.3135547226652765E+69</v>
      </c>
      <c r="K1945" s="4">
        <f>AdminY1*(1+AdminGrowth)^1943</f>
        <v>2.953426756977758E+53</v>
      </c>
      <c r="L1945" s="4">
        <f t="shared" si="122"/>
        <v>3.9406641679958296E+69</v>
      </c>
      <c r="M1945" s="4">
        <f t="shared" si="123"/>
        <v>2.0000853363564281E+85</v>
      </c>
    </row>
    <row r="1946" spans="1:13" x14ac:dyDescent="0.2">
      <c r="A1946" s="3">
        <f>StartYear+1944</f>
        <v>3969</v>
      </c>
      <c r="B1946" s="4">
        <f>FacultyFTE*HoursPerWeek*WeeksPerYear*RatePerHour*(1+PracticeGrowth)^1944</f>
        <v>4.4811541085588183E+46</v>
      </c>
      <c r="C1946" s="4">
        <f>StudentsY1*(1+StudentGrowth)^1944*CreditsPerStudent*TuitionPerCredit</f>
        <v>2.8007213178492616E+47</v>
      </c>
      <c r="D1946" s="4">
        <f>SimRevY1*(1+SimGrowth)^1944</f>
        <v>1.4667292466613807E+85</v>
      </c>
      <c r="E1946" s="4">
        <f>FacDevRevY1*(1+FacDevGrowth)^1944</f>
        <v>7.3336462333069035E+84</v>
      </c>
      <c r="F1946" s="4">
        <f t="shared" si="120"/>
        <v>2.200093869992071E+85</v>
      </c>
      <c r="G1946" s="4">
        <f t="shared" si="121"/>
        <v>2.200093869992071E+85</v>
      </c>
      <c r="H1946" s="4">
        <f>SalaryFTECount*SalaryPerFTE*(1+SalaryGrowth)^1944</f>
        <v>2.7228949819416475E+38</v>
      </c>
      <c r="I1946" s="4">
        <f>SimOpsY1*(1+SimOpsGrowth)^1944</f>
        <v>2.8372782009569973E+69</v>
      </c>
      <c r="J1946" s="4">
        <f>TrainDevY1*(1+TrainDevGrowth)^1944</f>
        <v>1.4186391004784986E+69</v>
      </c>
      <c r="K1946" s="4">
        <f>AdminY1*(1+AdminGrowth)^1944</f>
        <v>3.1306323623964229E+53</v>
      </c>
      <c r="L1946" s="4">
        <f t="shared" si="122"/>
        <v>4.2559173014354959E+69</v>
      </c>
      <c r="M1946" s="4">
        <f t="shared" si="123"/>
        <v>2.2000938699920706E+85</v>
      </c>
    </row>
    <row r="1947" spans="1:13" x14ac:dyDescent="0.2">
      <c r="A1947" s="3">
        <f>StartYear+1945</f>
        <v>3970</v>
      </c>
      <c r="B1947" s="4">
        <f>FacultyFTE*HoursPerWeek*WeeksPerYear*RatePerHour*(1+PracticeGrowth)^1945</f>
        <v>4.7052118139867588E+46</v>
      </c>
      <c r="C1947" s="4">
        <f>StudentsY1*(1+StudentGrowth)^1945*CreditsPerStudent*TuitionPerCredit</f>
        <v>2.9407573837417247E+47</v>
      </c>
      <c r="D1947" s="4">
        <f>SimRevY1*(1+SimGrowth)^1945</f>
        <v>1.6134021713275188E+85</v>
      </c>
      <c r="E1947" s="4">
        <f>FacDevRevY1*(1+FacDevGrowth)^1945</f>
        <v>8.0670108566375941E+84</v>
      </c>
      <c r="F1947" s="4">
        <f t="shared" si="120"/>
        <v>2.4201032569912784E+85</v>
      </c>
      <c r="G1947" s="4">
        <f t="shared" si="121"/>
        <v>2.4201032569912784E+85</v>
      </c>
      <c r="H1947" s="4">
        <f>SalaryFTECount*SalaryPerFTE*(1+SalaryGrowth)^1945</f>
        <v>2.8318107812193144E+38</v>
      </c>
      <c r="I1947" s="4">
        <f>SimOpsY1*(1+SimOpsGrowth)^1945</f>
        <v>3.0642604570335573E+69</v>
      </c>
      <c r="J1947" s="4">
        <f>TrainDevY1*(1+TrainDevGrowth)^1945</f>
        <v>1.5321302285167787E+69</v>
      </c>
      <c r="K1947" s="4">
        <f>AdminY1*(1+AdminGrowth)^1945</f>
        <v>3.3184703041402078E+53</v>
      </c>
      <c r="L1947" s="4">
        <f t="shared" si="122"/>
        <v>4.5963906855503362E+69</v>
      </c>
      <c r="M1947" s="4">
        <f t="shared" si="123"/>
        <v>2.420103256991278E+85</v>
      </c>
    </row>
    <row r="1948" spans="1:13" x14ac:dyDescent="0.2">
      <c r="A1948" s="3">
        <f>StartYear+1946</f>
        <v>3971</v>
      </c>
      <c r="B1948" s="4">
        <f>FacultyFTE*HoursPerWeek*WeeksPerYear*RatePerHour*(1+PracticeGrowth)^1946</f>
        <v>4.9404724046860967E+46</v>
      </c>
      <c r="C1948" s="4">
        <f>StudentsY1*(1+StudentGrowth)^1946*CreditsPerStudent*TuitionPerCredit</f>
        <v>3.0877952529288104E+47</v>
      </c>
      <c r="D1948" s="4">
        <f>SimRevY1*(1+SimGrowth)^1946</f>
        <v>1.7747423884602705E+85</v>
      </c>
      <c r="E1948" s="4">
        <f>FacDevRevY1*(1+FacDevGrowth)^1946</f>
        <v>8.8737119423013526E+84</v>
      </c>
      <c r="F1948" s="4">
        <f t="shared" si="120"/>
        <v>2.6621135826904056E+85</v>
      </c>
      <c r="G1948" s="4">
        <f t="shared" si="121"/>
        <v>2.6621135826904056E+85</v>
      </c>
      <c r="H1948" s="4">
        <f>SalaryFTECount*SalaryPerFTE*(1+SalaryGrowth)^1946</f>
        <v>2.9450832124680857E+38</v>
      </c>
      <c r="I1948" s="4">
        <f>SimOpsY1*(1+SimOpsGrowth)^1946</f>
        <v>3.3094012935962417E+69</v>
      </c>
      <c r="J1948" s="4">
        <f>TrainDevY1*(1+TrainDevGrowth)^1946</f>
        <v>1.6547006467981208E+69</v>
      </c>
      <c r="K1948" s="4">
        <f>AdminY1*(1+AdminGrowth)^1946</f>
        <v>3.5175785223886211E+53</v>
      </c>
      <c r="L1948" s="4">
        <f t="shared" si="122"/>
        <v>4.9641019403943627E+69</v>
      </c>
      <c r="M1948" s="4">
        <f t="shared" si="123"/>
        <v>2.6621135826904053E+85</v>
      </c>
    </row>
    <row r="1949" spans="1:13" x14ac:dyDescent="0.2">
      <c r="A1949" s="3">
        <f>StartYear+1947</f>
        <v>3972</v>
      </c>
      <c r="B1949" s="4">
        <f>FacultyFTE*HoursPerWeek*WeeksPerYear*RatePerHour*(1+PracticeGrowth)^1947</f>
        <v>5.1874960249204031E+46</v>
      </c>
      <c r="C1949" s="4">
        <f>StudentsY1*(1+StudentGrowth)^1947*CreditsPerStudent*TuitionPerCredit</f>
        <v>3.2421850155752515E+47</v>
      </c>
      <c r="D1949" s="4">
        <f>SimRevY1*(1+SimGrowth)^1947</f>
        <v>1.9522166273062983E+85</v>
      </c>
      <c r="E1949" s="4">
        <f>FacDevRevY1*(1+FacDevGrowth)^1947</f>
        <v>9.7610831365314915E+84</v>
      </c>
      <c r="F1949" s="4">
        <f t="shared" si="120"/>
        <v>2.9283249409594476E+85</v>
      </c>
      <c r="G1949" s="4">
        <f t="shared" si="121"/>
        <v>2.9283249409594476E+85</v>
      </c>
      <c r="H1949" s="4">
        <f>SalaryFTECount*SalaryPerFTE*(1+SalaryGrowth)^1947</f>
        <v>3.0628865409668093E+38</v>
      </c>
      <c r="I1949" s="4">
        <f>SimOpsY1*(1+SimOpsGrowth)^1947</f>
        <v>3.574153397083941E+69</v>
      </c>
      <c r="J1949" s="4">
        <f>TrainDevY1*(1+TrainDevGrowth)^1947</f>
        <v>1.7870766985419705E+69</v>
      </c>
      <c r="K1949" s="4">
        <f>AdminY1*(1+AdminGrowth)^1947</f>
        <v>3.7286332337319388E+53</v>
      </c>
      <c r="L1949" s="4">
        <f t="shared" si="122"/>
        <v>5.3612300956259119E+69</v>
      </c>
      <c r="M1949" s="4">
        <f t="shared" si="123"/>
        <v>2.9283249409594469E+85</v>
      </c>
    </row>
    <row r="1950" spans="1:13" x14ac:dyDescent="0.2">
      <c r="A1950" s="3">
        <f>StartYear+1948</f>
        <v>3973</v>
      </c>
      <c r="B1950" s="4">
        <f>FacultyFTE*HoursPerWeek*WeeksPerYear*RatePerHour*(1+PracticeGrowth)^1948</f>
        <v>5.4468708261664219E+46</v>
      </c>
      <c r="C1950" s="4">
        <f>StudentsY1*(1+StudentGrowth)^1948*CreditsPerStudent*TuitionPerCredit</f>
        <v>3.4042942663540135E+47</v>
      </c>
      <c r="D1950" s="4">
        <f>SimRevY1*(1+SimGrowth)^1948</f>
        <v>2.1474382900369287E+85</v>
      </c>
      <c r="E1950" s="4">
        <f>FacDevRevY1*(1+FacDevGrowth)^1948</f>
        <v>1.0737191450184644E+85</v>
      </c>
      <c r="F1950" s="4">
        <f t="shared" si="120"/>
        <v>3.2211574350553931E+85</v>
      </c>
      <c r="G1950" s="4">
        <f t="shared" si="121"/>
        <v>3.2211574350553931E+85</v>
      </c>
      <c r="H1950" s="4">
        <f>SalaryFTECount*SalaryPerFTE*(1+SalaryGrowth)^1948</f>
        <v>3.1854020026054832E+38</v>
      </c>
      <c r="I1950" s="4">
        <f>SimOpsY1*(1+SimOpsGrowth)^1948</f>
        <v>3.8600856688506562E+69</v>
      </c>
      <c r="J1950" s="4">
        <f>TrainDevY1*(1+TrainDevGrowth)^1948</f>
        <v>1.9300428344253281E+69</v>
      </c>
      <c r="K1950" s="4">
        <f>AdminY1*(1+AdminGrowth)^1948</f>
        <v>3.952351227755856E+53</v>
      </c>
      <c r="L1950" s="4">
        <f t="shared" si="122"/>
        <v>5.7901285032759851E+69</v>
      </c>
      <c r="M1950" s="4">
        <f t="shared" si="123"/>
        <v>3.2211574350553924E+85</v>
      </c>
    </row>
    <row r="1951" spans="1:13" x14ac:dyDescent="0.2">
      <c r="A1951" s="3">
        <f>StartYear+1949</f>
        <v>3974</v>
      </c>
      <c r="B1951" s="4">
        <f>FacultyFTE*HoursPerWeek*WeeksPerYear*RatePerHour*(1+PracticeGrowth)^1949</f>
        <v>5.7192143674747442E+46</v>
      </c>
      <c r="C1951" s="4">
        <f>StudentsY1*(1+StudentGrowth)^1949*CreditsPerStudent*TuitionPerCredit</f>
        <v>3.5745089796717153E+47</v>
      </c>
      <c r="D1951" s="4">
        <f>SimRevY1*(1+SimGrowth)^1949</f>
        <v>2.3621821190406211E+85</v>
      </c>
      <c r="E1951" s="4">
        <f>FacDevRevY1*(1+FacDevGrowth)^1949</f>
        <v>1.1810910595203106E+85</v>
      </c>
      <c r="F1951" s="4">
        <f t="shared" si="120"/>
        <v>3.5432731785609318E+85</v>
      </c>
      <c r="G1951" s="4">
        <f t="shared" si="121"/>
        <v>3.5432731785609318E+85</v>
      </c>
      <c r="H1951" s="4">
        <f>SalaryFTECount*SalaryPerFTE*(1+SalaryGrowth)^1949</f>
        <v>3.3128180827097025E+38</v>
      </c>
      <c r="I1951" s="4">
        <f>SimOpsY1*(1+SimOpsGrowth)^1949</f>
        <v>4.1688925223587094E+69</v>
      </c>
      <c r="J1951" s="4">
        <f>TrainDevY1*(1+TrainDevGrowth)^1949</f>
        <v>2.0844462611793547E+69</v>
      </c>
      <c r="K1951" s="4">
        <f>AdminY1*(1+AdminGrowth)^1949</f>
        <v>4.189492301421207E+53</v>
      </c>
      <c r="L1951" s="4">
        <f t="shared" si="122"/>
        <v>6.2533387835380652E+69</v>
      </c>
      <c r="M1951" s="4">
        <f t="shared" si="123"/>
        <v>3.5432731785609311E+85</v>
      </c>
    </row>
    <row r="1952" spans="1:13" x14ac:dyDescent="0.2">
      <c r="A1952" s="3">
        <f>StartYear+1950</f>
        <v>3975</v>
      </c>
      <c r="B1952" s="4">
        <f>FacultyFTE*HoursPerWeek*WeeksPerYear*RatePerHour*(1+PracticeGrowth)^1950</f>
        <v>6.005175085848479E+46</v>
      </c>
      <c r="C1952" s="4">
        <f>StudentsY1*(1+StudentGrowth)^1950*CreditsPerStudent*TuitionPerCredit</f>
        <v>3.7532344286553E+47</v>
      </c>
      <c r="D1952" s="4">
        <f>SimRevY1*(1+SimGrowth)^1950</f>
        <v>2.5984003309446837E+85</v>
      </c>
      <c r="E1952" s="4">
        <f>FacDevRevY1*(1+FacDevGrowth)^1950</f>
        <v>1.2992001654723419E+85</v>
      </c>
      <c r="F1952" s="4">
        <f t="shared" si="120"/>
        <v>3.8976004964170258E+85</v>
      </c>
      <c r="G1952" s="4">
        <f t="shared" si="121"/>
        <v>3.8976004964170258E+85</v>
      </c>
      <c r="H1952" s="4">
        <f>SalaryFTECount*SalaryPerFTE*(1+SalaryGrowth)^1950</f>
        <v>3.4453308060180904E+38</v>
      </c>
      <c r="I1952" s="4">
        <f>SimOpsY1*(1+SimOpsGrowth)^1950</f>
        <v>4.5024039241474063E+69</v>
      </c>
      <c r="J1952" s="4">
        <f>TrainDevY1*(1+TrainDevGrowth)^1950</f>
        <v>2.2512019620737031E+69</v>
      </c>
      <c r="K1952" s="4">
        <f>AdminY1*(1+AdminGrowth)^1950</f>
        <v>4.4408618395064798E+53</v>
      </c>
      <c r="L1952" s="4">
        <f t="shared" si="122"/>
        <v>6.7536058862211102E+69</v>
      </c>
      <c r="M1952" s="4">
        <f t="shared" si="123"/>
        <v>3.8976004964170251E+85</v>
      </c>
    </row>
    <row r="1953" spans="1:13" x14ac:dyDescent="0.2">
      <c r="A1953" s="3">
        <f>StartYear+1951</f>
        <v>3976</v>
      </c>
      <c r="B1953" s="4">
        <f>FacultyFTE*HoursPerWeek*WeeksPerYear*RatePerHour*(1+PracticeGrowth)^1951</f>
        <v>6.3054338401409063E+46</v>
      </c>
      <c r="C1953" s="4">
        <f>StudentsY1*(1+StudentGrowth)^1951*CreditsPerStudent*TuitionPerCredit</f>
        <v>3.9408961500880662E+47</v>
      </c>
      <c r="D1953" s="4">
        <f>SimRevY1*(1+SimGrowth)^1951</f>
        <v>2.8582403640391519E+85</v>
      </c>
      <c r="E1953" s="4">
        <f>FacDevRevY1*(1+FacDevGrowth)^1951</f>
        <v>1.4291201820195759E+85</v>
      </c>
      <c r="F1953" s="4">
        <f t="shared" si="120"/>
        <v>4.2873605460587274E+85</v>
      </c>
      <c r="G1953" s="4">
        <f t="shared" si="121"/>
        <v>4.2873605460587274E+85</v>
      </c>
      <c r="H1953" s="4">
        <f>SalaryFTECount*SalaryPerFTE*(1+SalaryGrowth)^1951</f>
        <v>3.583144038258814E+38</v>
      </c>
      <c r="I1953" s="4">
        <f>SimOpsY1*(1+SimOpsGrowth)^1951</f>
        <v>4.8625962380791999E+69</v>
      </c>
      <c r="J1953" s="4">
        <f>TrainDevY1*(1+TrainDevGrowth)^1951</f>
        <v>2.4312981190395999E+69</v>
      </c>
      <c r="K1953" s="4">
        <f>AdminY1*(1+AdminGrowth)^1951</f>
        <v>4.7073135498768691E+53</v>
      </c>
      <c r="L1953" s="4">
        <f t="shared" si="122"/>
        <v>7.2938943571187998E+69</v>
      </c>
      <c r="M1953" s="4">
        <f t="shared" si="123"/>
        <v>4.2873605460587268E+85</v>
      </c>
    </row>
    <row r="1954" spans="1:13" x14ac:dyDescent="0.2">
      <c r="A1954" s="3">
        <f>StartYear+1952</f>
        <v>3977</v>
      </c>
      <c r="B1954" s="4">
        <f>FacultyFTE*HoursPerWeek*WeeksPerYear*RatePerHour*(1+PracticeGrowth)^1952</f>
        <v>6.6207055321479504E+46</v>
      </c>
      <c r="C1954" s="4">
        <f>StudentsY1*(1+StudentGrowth)^1952*CreditsPerStudent*TuitionPerCredit</f>
        <v>4.1379409575924692E+47</v>
      </c>
      <c r="D1954" s="4">
        <f>SimRevY1*(1+SimGrowth)^1952</f>
        <v>3.1440644004430675E+85</v>
      </c>
      <c r="E1954" s="4">
        <f>FacDevRevY1*(1+FacDevGrowth)^1952</f>
        <v>1.5720322002215338E+85</v>
      </c>
      <c r="F1954" s="4">
        <f t="shared" si="120"/>
        <v>4.7160966006646013E+85</v>
      </c>
      <c r="G1954" s="4">
        <f t="shared" si="121"/>
        <v>4.7160966006646013E+85</v>
      </c>
      <c r="H1954" s="4">
        <f>SalaryFTECount*SalaryPerFTE*(1+SalaryGrowth)^1952</f>
        <v>3.7264697997891674E+38</v>
      </c>
      <c r="I1954" s="4">
        <f>SimOpsY1*(1+SimOpsGrowth)^1952</f>
        <v>5.2516039371255356E+69</v>
      </c>
      <c r="J1954" s="4">
        <f>TrainDevY1*(1+TrainDevGrowth)^1952</f>
        <v>2.6258019685627678E+69</v>
      </c>
      <c r="K1954" s="4">
        <f>AdminY1*(1+AdminGrowth)^1952</f>
        <v>4.9897523628694812E+53</v>
      </c>
      <c r="L1954" s="4">
        <f t="shared" si="122"/>
        <v>7.8774059056883034E+69</v>
      </c>
      <c r="M1954" s="4">
        <f t="shared" si="123"/>
        <v>4.7160966006646006E+85</v>
      </c>
    </row>
    <row r="1955" spans="1:13" x14ac:dyDescent="0.2">
      <c r="A1955" s="3">
        <f>StartYear+1953</f>
        <v>3978</v>
      </c>
      <c r="B1955" s="4">
        <f>FacultyFTE*HoursPerWeek*WeeksPerYear*RatePerHour*(1+PracticeGrowth)^1953</f>
        <v>6.9517408087553483E+46</v>
      </c>
      <c r="C1955" s="4">
        <f>StudentsY1*(1+StudentGrowth)^1953*CreditsPerStudent*TuitionPerCredit</f>
        <v>4.3448380054720924E+47</v>
      </c>
      <c r="D1955" s="4">
        <f>SimRevY1*(1+SimGrowth)^1953</f>
        <v>3.4584708404873748E+85</v>
      </c>
      <c r="E1955" s="4">
        <f>FacDevRevY1*(1+FacDevGrowth)^1953</f>
        <v>1.7292354202436874E+85</v>
      </c>
      <c r="F1955" s="4">
        <f t="shared" si="120"/>
        <v>5.1877062607310626E+85</v>
      </c>
      <c r="G1955" s="4">
        <f t="shared" si="121"/>
        <v>5.1877062607310626E+85</v>
      </c>
      <c r="H1955" s="4">
        <f>SalaryFTECount*SalaryPerFTE*(1+SalaryGrowth)^1953</f>
        <v>3.8755285917807329E+38</v>
      </c>
      <c r="I1955" s="4">
        <f>SimOpsY1*(1+SimOpsGrowth)^1953</f>
        <v>5.6717322520955782E+69</v>
      </c>
      <c r="J1955" s="4">
        <f>TrainDevY1*(1+TrainDevGrowth)^1953</f>
        <v>2.8358661260477891E+69</v>
      </c>
      <c r="K1955" s="4">
        <f>AdminY1*(1+AdminGrowth)^1953</f>
        <v>5.28913750464165E+53</v>
      </c>
      <c r="L1955" s="4">
        <f t="shared" si="122"/>
        <v>8.507598378143368E+69</v>
      </c>
      <c r="M1955" s="4">
        <f t="shared" si="123"/>
        <v>5.1877062607310619E+85</v>
      </c>
    </row>
    <row r="1956" spans="1:13" x14ac:dyDescent="0.2">
      <c r="A1956" s="3">
        <f>StartYear+1954</f>
        <v>3979</v>
      </c>
      <c r="B1956" s="4">
        <f>FacultyFTE*HoursPerWeek*WeeksPerYear*RatePerHour*(1+PracticeGrowth)^1954</f>
        <v>7.2993278491931147E+46</v>
      </c>
      <c r="C1956" s="4">
        <f>StudentsY1*(1+StudentGrowth)^1954*CreditsPerStudent*TuitionPerCredit</f>
        <v>4.5620799057456968E+47</v>
      </c>
      <c r="D1956" s="4">
        <f>SimRevY1*(1+SimGrowth)^1954</f>
        <v>3.8043179245361123E+85</v>
      </c>
      <c r="E1956" s="4">
        <f>FacDevRevY1*(1+FacDevGrowth)^1954</f>
        <v>1.9021589622680561E+85</v>
      </c>
      <c r="F1956" s="4">
        <f t="shared" si="120"/>
        <v>5.7064768868041687E+85</v>
      </c>
      <c r="G1956" s="4">
        <f t="shared" si="121"/>
        <v>5.7064768868041687E+85</v>
      </c>
      <c r="H1956" s="4">
        <f>SalaryFTECount*SalaryPerFTE*(1+SalaryGrowth)^1954</f>
        <v>4.0305497354519627E+38</v>
      </c>
      <c r="I1956" s="4">
        <f>SimOpsY1*(1+SimOpsGrowth)^1954</f>
        <v>6.1254708322632246E+69</v>
      </c>
      <c r="J1956" s="4">
        <f>TrainDevY1*(1+TrainDevGrowth)^1954</f>
        <v>3.0627354161316123E+69</v>
      </c>
      <c r="K1956" s="4">
        <f>AdminY1*(1+AdminGrowth)^1954</f>
        <v>5.606485754920149E+53</v>
      </c>
      <c r="L1956" s="4">
        <f t="shared" si="122"/>
        <v>9.1882062483948369E+69</v>
      </c>
      <c r="M1956" s="4">
        <f t="shared" si="123"/>
        <v>5.706476886804168E+85</v>
      </c>
    </row>
    <row r="1957" spans="1:13" x14ac:dyDescent="0.2">
      <c r="A1957" s="3">
        <f>StartYear+1955</f>
        <v>3980</v>
      </c>
      <c r="B1957" s="4">
        <f>FacultyFTE*HoursPerWeek*WeeksPerYear*RatePerHour*(1+PracticeGrowth)^1955</f>
        <v>7.6642942416527726E+46</v>
      </c>
      <c r="C1957" s="4">
        <f>StudentsY1*(1+StudentGrowth)^1955*CreditsPerStudent*TuitionPerCredit</f>
        <v>4.7901839010329833E+47</v>
      </c>
      <c r="D1957" s="4">
        <f>SimRevY1*(1+SimGrowth)^1955</f>
        <v>4.1847497169897248E+85</v>
      </c>
      <c r="E1957" s="4">
        <f>FacDevRevY1*(1+FacDevGrowth)^1955</f>
        <v>2.0923748584948624E+85</v>
      </c>
      <c r="F1957" s="4">
        <f t="shared" si="120"/>
        <v>6.2771245754845875E+85</v>
      </c>
      <c r="G1957" s="4">
        <f t="shared" si="121"/>
        <v>6.2771245754845875E+85</v>
      </c>
      <c r="H1957" s="4">
        <f>SalaryFTECount*SalaryPerFTE*(1+SalaryGrowth)^1955</f>
        <v>4.1917717248700417E+38</v>
      </c>
      <c r="I1957" s="4">
        <f>SimOpsY1*(1+SimOpsGrowth)^1955</f>
        <v>6.6155084988442827E+69</v>
      </c>
      <c r="J1957" s="4">
        <f>TrainDevY1*(1+TrainDevGrowth)^1955</f>
        <v>3.3077542494221414E+69</v>
      </c>
      <c r="K1957" s="4">
        <f>AdminY1*(1+AdminGrowth)^1955</f>
        <v>5.9428749002153589E+53</v>
      </c>
      <c r="L1957" s="4">
        <f t="shared" si="122"/>
        <v>9.9232627482664249E+69</v>
      </c>
      <c r="M1957" s="4">
        <f t="shared" si="123"/>
        <v>6.2771245754845861E+85</v>
      </c>
    </row>
    <row r="1958" spans="1:13" x14ac:dyDescent="0.2">
      <c r="A1958" s="3">
        <f>StartYear+1956</f>
        <v>3981</v>
      </c>
      <c r="B1958" s="4">
        <f>FacultyFTE*HoursPerWeek*WeeksPerYear*RatePerHour*(1+PracticeGrowth)^1956</f>
        <v>8.0475089537354096E+46</v>
      </c>
      <c r="C1958" s="4">
        <f>StudentsY1*(1+StudentGrowth)^1956*CreditsPerStudent*TuitionPerCredit</f>
        <v>5.029693096084631E+47</v>
      </c>
      <c r="D1958" s="4">
        <f>SimRevY1*(1+SimGrowth)^1956</f>
        <v>4.6032246886886968E+85</v>
      </c>
      <c r="E1958" s="4">
        <f>FacDevRevY1*(1+FacDevGrowth)^1956</f>
        <v>2.3016123443443484E+85</v>
      </c>
      <c r="F1958" s="4">
        <f t="shared" si="120"/>
        <v>6.9048370330330445E+85</v>
      </c>
      <c r="G1958" s="4">
        <f t="shared" si="121"/>
        <v>6.9048370330330445E+85</v>
      </c>
      <c r="H1958" s="4">
        <f>SalaryFTECount*SalaryPerFTE*(1+SalaryGrowth)^1956</f>
        <v>4.3594425938648437E+38</v>
      </c>
      <c r="I1958" s="4">
        <f>SimOpsY1*(1+SimOpsGrowth)^1956</f>
        <v>7.1447491787518277E+69</v>
      </c>
      <c r="J1958" s="4">
        <f>TrainDevY1*(1+TrainDevGrowth)^1956</f>
        <v>3.5723745893759138E+69</v>
      </c>
      <c r="K1958" s="4">
        <f>AdminY1*(1+AdminGrowth)^1956</f>
        <v>6.2994473942282803E+53</v>
      </c>
      <c r="L1958" s="4">
        <f t="shared" si="122"/>
        <v>1.0717123768127742E+70</v>
      </c>
      <c r="M1958" s="4">
        <f t="shared" si="123"/>
        <v>6.9048370330330431E+85</v>
      </c>
    </row>
    <row r="1959" spans="1:13" x14ac:dyDescent="0.2">
      <c r="A1959" s="3">
        <f>StartYear+1957</f>
        <v>3982</v>
      </c>
      <c r="B1959" s="4">
        <f>FacultyFTE*HoursPerWeek*WeeksPerYear*RatePerHour*(1+PracticeGrowth)^1957</f>
        <v>8.4498844014221825E+46</v>
      </c>
      <c r="C1959" s="4">
        <f>StudentsY1*(1+StudentGrowth)^1957*CreditsPerStudent*TuitionPerCredit</f>
        <v>5.2811777508888638E+47</v>
      </c>
      <c r="D1959" s="4">
        <f>SimRevY1*(1+SimGrowth)^1957</f>
        <v>5.0635471575575669E+85</v>
      </c>
      <c r="E1959" s="4">
        <f>FacDevRevY1*(1+FacDevGrowth)^1957</f>
        <v>2.5317735787787834E+85</v>
      </c>
      <c r="F1959" s="4">
        <f t="shared" si="120"/>
        <v>7.5953207363363503E+85</v>
      </c>
      <c r="G1959" s="4">
        <f t="shared" si="121"/>
        <v>7.5953207363363503E+85</v>
      </c>
      <c r="H1959" s="4">
        <f>SalaryFTECount*SalaryPerFTE*(1+SalaryGrowth)^1957</f>
        <v>4.5338202976194386E+38</v>
      </c>
      <c r="I1959" s="4">
        <f>SimOpsY1*(1+SimOpsGrowth)^1957</f>
        <v>7.7163291130519743E+69</v>
      </c>
      <c r="J1959" s="4">
        <f>TrainDevY1*(1+TrainDevGrowth)^1957</f>
        <v>3.8581645565259872E+69</v>
      </c>
      <c r="K1959" s="4">
        <f>AdminY1*(1+AdminGrowth)^1957</f>
        <v>6.6774142378819776E+53</v>
      </c>
      <c r="L1959" s="4">
        <f t="shared" si="122"/>
        <v>1.1574493669577962E+70</v>
      </c>
      <c r="M1959" s="4">
        <f t="shared" si="123"/>
        <v>7.5953207363363489E+85</v>
      </c>
    </row>
    <row r="1960" spans="1:13" x14ac:dyDescent="0.2">
      <c r="A1960" s="3">
        <f>StartYear+1958</f>
        <v>3983</v>
      </c>
      <c r="B1960" s="4">
        <f>FacultyFTE*HoursPerWeek*WeeksPerYear*RatePerHour*(1+PracticeGrowth)^1958</f>
        <v>8.8723786214932879E+46</v>
      </c>
      <c r="C1960" s="4">
        <f>StudentsY1*(1+StudentGrowth)^1958*CreditsPerStudent*TuitionPerCredit</f>
        <v>5.5452366384333055E+47</v>
      </c>
      <c r="D1960" s="4">
        <f>SimRevY1*(1+SimGrowth)^1958</f>
        <v>5.5699018733133254E+85</v>
      </c>
      <c r="E1960" s="4">
        <f>FacDevRevY1*(1+FacDevGrowth)^1958</f>
        <v>2.7849509366566627E+85</v>
      </c>
      <c r="F1960" s="4">
        <f t="shared" si="120"/>
        <v>8.3548528099699877E+85</v>
      </c>
      <c r="G1960" s="4">
        <f t="shared" si="121"/>
        <v>8.3548528099699877E+85</v>
      </c>
      <c r="H1960" s="4">
        <f>SalaryFTECount*SalaryPerFTE*(1+SalaryGrowth)^1958</f>
        <v>4.7151731095242142E+38</v>
      </c>
      <c r="I1960" s="4">
        <f>SimOpsY1*(1+SimOpsGrowth)^1958</f>
        <v>8.3336354420961321E+69</v>
      </c>
      <c r="J1960" s="4">
        <f>TrainDevY1*(1+TrainDevGrowth)^1958</f>
        <v>4.166817721048066E+69</v>
      </c>
      <c r="K1960" s="4">
        <f>AdminY1*(1+AdminGrowth)^1958</f>
        <v>7.0780590921548984E+53</v>
      </c>
      <c r="L1960" s="4">
        <f t="shared" si="122"/>
        <v>1.2500453163144197E+70</v>
      </c>
      <c r="M1960" s="4">
        <f t="shared" si="123"/>
        <v>8.3548528099699863E+85</v>
      </c>
    </row>
    <row r="1961" spans="1:13" x14ac:dyDescent="0.2">
      <c r="A1961" s="3">
        <f>StartYear+1959</f>
        <v>3984</v>
      </c>
      <c r="B1961" s="4">
        <f>FacultyFTE*HoursPerWeek*WeeksPerYear*RatePerHour*(1+PracticeGrowth)^1959</f>
        <v>9.3159975525679556E+46</v>
      </c>
      <c r="C1961" s="4">
        <f>StudentsY1*(1+StudentGrowth)^1959*CreditsPerStudent*TuitionPerCredit</f>
        <v>5.8224984703549729E+47</v>
      </c>
      <c r="D1961" s="4">
        <f>SimRevY1*(1+SimGrowth)^1959</f>
        <v>6.1268920606446564E+85</v>
      </c>
      <c r="E1961" s="4">
        <f>FacDevRevY1*(1+FacDevGrowth)^1959</f>
        <v>3.0634460303223282E+85</v>
      </c>
      <c r="F1961" s="4">
        <f t="shared" si="120"/>
        <v>9.1903380909669847E+85</v>
      </c>
      <c r="G1961" s="4">
        <f t="shared" si="121"/>
        <v>9.1903380909669847E+85</v>
      </c>
      <c r="H1961" s="4">
        <f>SalaryFTECount*SalaryPerFTE*(1+SalaryGrowth)^1959</f>
        <v>4.9037800339051824E+38</v>
      </c>
      <c r="I1961" s="4">
        <f>SimOpsY1*(1+SimOpsGrowth)^1959</f>
        <v>9.0003262774638227E+69</v>
      </c>
      <c r="J1961" s="4">
        <f>TrainDevY1*(1+TrainDevGrowth)^1959</f>
        <v>4.5001631387319113E+69</v>
      </c>
      <c r="K1961" s="4">
        <f>AdminY1*(1+AdminGrowth)^1959</f>
        <v>7.5027426376841926E+53</v>
      </c>
      <c r="L1961" s="4">
        <f t="shared" si="122"/>
        <v>1.3500489416195735E+70</v>
      </c>
      <c r="M1961" s="4">
        <f t="shared" si="123"/>
        <v>9.1903380909669833E+85</v>
      </c>
    </row>
    <row r="1962" spans="1:13" x14ac:dyDescent="0.2">
      <c r="A1962" s="3">
        <f>StartYear+1960</f>
        <v>3985</v>
      </c>
      <c r="B1962" s="4">
        <f>FacultyFTE*HoursPerWeek*WeeksPerYear*RatePerHour*(1+PracticeGrowth)^1960</f>
        <v>9.7817974301963494E+46</v>
      </c>
      <c r="C1962" s="4">
        <f>StudentsY1*(1+StudentGrowth)^1960*CreditsPerStudent*TuitionPerCredit</f>
        <v>6.1136233938727186E+47</v>
      </c>
      <c r="D1962" s="4">
        <f>SimRevY1*(1+SimGrowth)^1960</f>
        <v>6.7395812667091215E+85</v>
      </c>
      <c r="E1962" s="4">
        <f>FacDevRevY1*(1+FacDevGrowth)^1960</f>
        <v>3.3697906333545608E+85</v>
      </c>
      <c r="F1962" s="4">
        <f t="shared" si="120"/>
        <v>1.0109371900063682E+86</v>
      </c>
      <c r="G1962" s="4">
        <f t="shared" si="121"/>
        <v>1.0109371900063682E+86</v>
      </c>
      <c r="H1962" s="4">
        <f>SalaryFTECount*SalaryPerFTE*(1+SalaryGrowth)^1960</f>
        <v>5.0999312352613922E+38</v>
      </c>
      <c r="I1962" s="4">
        <f>SimOpsY1*(1+SimOpsGrowth)^1960</f>
        <v>9.720352379660929E+69</v>
      </c>
      <c r="J1962" s="4">
        <f>TrainDevY1*(1+TrainDevGrowth)^1960</f>
        <v>4.8601761898304645E+69</v>
      </c>
      <c r="K1962" s="4">
        <f>AdminY1*(1+AdminGrowth)^1960</f>
        <v>7.9529071959452427E+53</v>
      </c>
      <c r="L1962" s="4">
        <f t="shared" si="122"/>
        <v>1.4580528569491393E+70</v>
      </c>
      <c r="M1962" s="4">
        <f t="shared" si="123"/>
        <v>1.0109371900063681E+86</v>
      </c>
    </row>
    <row r="1963" spans="1:13" x14ac:dyDescent="0.2">
      <c r="A1963" s="3">
        <f>StartYear+1961</f>
        <v>3986</v>
      </c>
      <c r="B1963" s="4">
        <f>FacultyFTE*HoursPerWeek*WeeksPerYear*RatePerHour*(1+PracticeGrowth)^1961</f>
        <v>1.027088730170617E+47</v>
      </c>
      <c r="C1963" s="4">
        <f>StudentsY1*(1+StudentGrowth)^1961*CreditsPerStudent*TuitionPerCredit</f>
        <v>6.419304563566356E+47</v>
      </c>
      <c r="D1963" s="4">
        <f>SimRevY1*(1+SimGrowth)^1961</f>
        <v>7.4135393933800353E+85</v>
      </c>
      <c r="E1963" s="4">
        <f>FacDevRevY1*(1+FacDevGrowth)^1961</f>
        <v>3.7067696966900177E+85</v>
      </c>
      <c r="F1963" s="4">
        <f t="shared" si="120"/>
        <v>1.1120309090070054E+86</v>
      </c>
      <c r="G1963" s="4">
        <f t="shared" si="121"/>
        <v>1.1120309090070054E+86</v>
      </c>
      <c r="H1963" s="4">
        <f>SalaryFTECount*SalaryPerFTE*(1+SalaryGrowth)^1961</f>
        <v>5.3039284846718467E+38</v>
      </c>
      <c r="I1963" s="4">
        <f>SimOpsY1*(1+SimOpsGrowth)^1961</f>
        <v>1.0497980570033803E+70</v>
      </c>
      <c r="J1963" s="4">
        <f>TrainDevY1*(1+TrainDevGrowth)^1961</f>
        <v>5.2489902850169013E+69</v>
      </c>
      <c r="K1963" s="4">
        <f>AdminY1*(1+AdminGrowth)^1961</f>
        <v>8.4300816277019564E+53</v>
      </c>
      <c r="L1963" s="4">
        <f t="shared" si="122"/>
        <v>1.5746970855050703E+70</v>
      </c>
      <c r="M1963" s="4">
        <f t="shared" si="123"/>
        <v>1.1120309090070052E+86</v>
      </c>
    </row>
    <row r="1964" spans="1:13" x14ac:dyDescent="0.2">
      <c r="A1964" s="3">
        <f>StartYear+1962</f>
        <v>3987</v>
      </c>
      <c r="B1964" s="4">
        <f>FacultyFTE*HoursPerWeek*WeeksPerYear*RatePerHour*(1+PracticeGrowth)^1962</f>
        <v>1.078443166679148E+47</v>
      </c>
      <c r="C1964" s="4">
        <f>StudentsY1*(1+StudentGrowth)^1962*CreditsPerStudent*TuitionPerCredit</f>
        <v>6.7402697917446749E+47</v>
      </c>
      <c r="D1964" s="4">
        <f>SimRevY1*(1+SimGrowth)^1962</f>
        <v>8.1548933327180387E+85</v>
      </c>
      <c r="E1964" s="4">
        <f>FacDevRevY1*(1+FacDevGrowth)^1962</f>
        <v>4.0774466663590194E+85</v>
      </c>
      <c r="F1964" s="4">
        <f t="shared" si="120"/>
        <v>1.2232339999077057E+86</v>
      </c>
      <c r="G1964" s="4">
        <f t="shared" si="121"/>
        <v>1.2232339999077057E+86</v>
      </c>
      <c r="H1964" s="4">
        <f>SalaryFTECount*SalaryPerFTE*(1+SalaryGrowth)^1962</f>
        <v>5.5160856240587214E+38</v>
      </c>
      <c r="I1964" s="4">
        <f>SimOpsY1*(1+SimOpsGrowth)^1962</f>
        <v>1.1337819015636507E+70</v>
      </c>
      <c r="J1964" s="4">
        <f>TrainDevY1*(1+TrainDevGrowth)^1962</f>
        <v>5.6689095078182533E+69</v>
      </c>
      <c r="K1964" s="4">
        <f>AdminY1*(1+AdminGrowth)^1962</f>
        <v>8.9358865253640752E+53</v>
      </c>
      <c r="L1964" s="4">
        <f t="shared" si="122"/>
        <v>1.7006728523454761E+70</v>
      </c>
      <c r="M1964" s="4">
        <f t="shared" si="123"/>
        <v>1.2232339999077056E+86</v>
      </c>
    </row>
    <row r="1965" spans="1:13" x14ac:dyDescent="0.2">
      <c r="A1965" s="3">
        <f>StartYear+1963</f>
        <v>3988</v>
      </c>
      <c r="B1965" s="4">
        <f>FacultyFTE*HoursPerWeek*WeeksPerYear*RatePerHour*(1+PracticeGrowth)^1963</f>
        <v>1.1323653250131051E+47</v>
      </c>
      <c r="C1965" s="4">
        <f>StudentsY1*(1+StudentGrowth)^1963*CreditsPerStudent*TuitionPerCredit</f>
        <v>7.0772832813319077E+47</v>
      </c>
      <c r="D1965" s="4">
        <f>SimRevY1*(1+SimGrowth)^1963</f>
        <v>8.9703826659898447E+85</v>
      </c>
      <c r="E1965" s="4">
        <f>FacDevRevY1*(1+FacDevGrowth)^1963</f>
        <v>4.4851913329949223E+85</v>
      </c>
      <c r="F1965" s="4">
        <f t="shared" si="120"/>
        <v>1.3455573998984768E+86</v>
      </c>
      <c r="G1965" s="4">
        <f t="shared" si="121"/>
        <v>1.3455573998984768E+86</v>
      </c>
      <c r="H1965" s="4">
        <f>SalaryFTECount*SalaryPerFTE*(1+SalaryGrowth)^1963</f>
        <v>5.7367290490210718E+38</v>
      </c>
      <c r="I1965" s="4">
        <f>SimOpsY1*(1+SimOpsGrowth)^1963</f>
        <v>1.2244844536887428E+70</v>
      </c>
      <c r="J1965" s="4">
        <f>TrainDevY1*(1+TrainDevGrowth)^1963</f>
        <v>6.1224222684437142E+69</v>
      </c>
      <c r="K1965" s="4">
        <f>AdminY1*(1+AdminGrowth)^1963</f>
        <v>9.4720397168859213E+53</v>
      </c>
      <c r="L1965" s="4">
        <f t="shared" si="122"/>
        <v>1.8367266805331141E+70</v>
      </c>
      <c r="M1965" s="4">
        <f t="shared" si="123"/>
        <v>1.3455573998984766E+86</v>
      </c>
    </row>
    <row r="1966" spans="1:13" x14ac:dyDescent="0.2">
      <c r="A1966" s="3">
        <f>StartYear+1964</f>
        <v>3989</v>
      </c>
      <c r="B1966" s="4">
        <f>FacultyFTE*HoursPerWeek*WeeksPerYear*RatePerHour*(1+PracticeGrowth)^1964</f>
        <v>1.1889835912637604E+47</v>
      </c>
      <c r="C1966" s="4">
        <f>StudentsY1*(1+StudentGrowth)^1964*CreditsPerStudent*TuitionPerCredit</f>
        <v>7.4311474453985024E+47</v>
      </c>
      <c r="D1966" s="4">
        <f>SimRevY1*(1+SimGrowth)^1964</f>
        <v>9.8674209325888275E+85</v>
      </c>
      <c r="E1966" s="4">
        <f>FacDevRevY1*(1+FacDevGrowth)^1964</f>
        <v>4.9337104662944138E+85</v>
      </c>
      <c r="F1966" s="4">
        <f t="shared" si="120"/>
        <v>1.4801131398883242E+86</v>
      </c>
      <c r="G1966" s="4">
        <f t="shared" si="121"/>
        <v>1.4801131398883242E+86</v>
      </c>
      <c r="H1966" s="4">
        <f>SalaryFTECount*SalaryPerFTE*(1+SalaryGrowth)^1964</f>
        <v>5.9661982109819133E+38</v>
      </c>
      <c r="I1966" s="4">
        <f>SimOpsY1*(1+SimOpsGrowth)^1964</f>
        <v>1.3224432099838424E+70</v>
      </c>
      <c r="J1966" s="4">
        <f>TrainDevY1*(1+TrainDevGrowth)^1964</f>
        <v>6.6122160499192122E+69</v>
      </c>
      <c r="K1966" s="4">
        <f>AdminY1*(1+AdminGrowth)^1964</f>
        <v>1.0040362099899075E+54</v>
      </c>
      <c r="L1966" s="4">
        <f t="shared" si="122"/>
        <v>1.9836648149757635E+70</v>
      </c>
      <c r="M1966" s="4">
        <f t="shared" si="123"/>
        <v>1.4801131398883239E+86</v>
      </c>
    </row>
    <row r="1967" spans="1:13" x14ac:dyDescent="0.2">
      <c r="A1967" s="3">
        <f>StartYear+1965</f>
        <v>3990</v>
      </c>
      <c r="B1967" s="4">
        <f>FacultyFTE*HoursPerWeek*WeeksPerYear*RatePerHour*(1+PracticeGrowth)^1965</f>
        <v>1.2484327708269487E+47</v>
      </c>
      <c r="C1967" s="4">
        <f>StudentsY1*(1+StudentGrowth)^1965*CreditsPerStudent*TuitionPerCredit</f>
        <v>7.8027048176684291E+47</v>
      </c>
      <c r="D1967" s="4">
        <f>SimRevY1*(1+SimGrowth)^1965</f>
        <v>1.0854163025847713E+86</v>
      </c>
      <c r="E1967" s="4">
        <f>FacDevRevY1*(1+FacDevGrowth)^1965</f>
        <v>5.4270815129238563E+85</v>
      </c>
      <c r="F1967" s="4">
        <f t="shared" si="120"/>
        <v>1.6281244538771568E+86</v>
      </c>
      <c r="G1967" s="4">
        <f t="shared" si="121"/>
        <v>1.6281244538771568E+86</v>
      </c>
      <c r="H1967" s="4">
        <f>SalaryFTECount*SalaryPerFTE*(1+SalaryGrowth)^1965</f>
        <v>6.2048461394211906E+38</v>
      </c>
      <c r="I1967" s="4">
        <f>SimOpsY1*(1+SimOpsGrowth)^1965</f>
        <v>1.4282386667825501E+70</v>
      </c>
      <c r="J1967" s="4">
        <f>TrainDevY1*(1+TrainDevGrowth)^1965</f>
        <v>7.1411933339127505E+69</v>
      </c>
      <c r="K1967" s="4">
        <f>AdminY1*(1+AdminGrowth)^1965</f>
        <v>1.0642783825893021E+54</v>
      </c>
      <c r="L1967" s="4">
        <f t="shared" si="122"/>
        <v>2.142358000173825E+70</v>
      </c>
      <c r="M1967" s="4">
        <f t="shared" si="123"/>
        <v>1.6281244538771565E+86</v>
      </c>
    </row>
    <row r="1968" spans="1:13" x14ac:dyDescent="0.2">
      <c r="A1968" s="3">
        <f>StartYear+1966</f>
        <v>3991</v>
      </c>
      <c r="B1968" s="4">
        <f>FacultyFTE*HoursPerWeek*WeeksPerYear*RatePerHour*(1+PracticeGrowth)^1966</f>
        <v>1.3108544093682961E+47</v>
      </c>
      <c r="C1968" s="4">
        <f>StudentsY1*(1+StudentGrowth)^1966*CreditsPerStudent*TuitionPerCredit</f>
        <v>8.1928400585518509E+47</v>
      </c>
      <c r="D1968" s="4">
        <f>SimRevY1*(1+SimGrowth)^1966</f>
        <v>1.1939579328432484E+86</v>
      </c>
      <c r="E1968" s="4">
        <f>FacDevRevY1*(1+FacDevGrowth)^1966</f>
        <v>5.9697896642162422E+85</v>
      </c>
      <c r="F1968" s="4">
        <f t="shared" si="120"/>
        <v>1.7909368992648726E+86</v>
      </c>
      <c r="G1968" s="4">
        <f t="shared" si="121"/>
        <v>1.7909368992648726E+86</v>
      </c>
      <c r="H1968" s="4">
        <f>SalaryFTECount*SalaryPerFTE*(1+SalaryGrowth)^1966</f>
        <v>6.4530399849980386E+38</v>
      </c>
      <c r="I1968" s="4">
        <f>SimOpsY1*(1+SimOpsGrowth)^1966</f>
        <v>1.542497760125154E+70</v>
      </c>
      <c r="J1968" s="4">
        <f>TrainDevY1*(1+TrainDevGrowth)^1966</f>
        <v>7.7124888006257702E+69</v>
      </c>
      <c r="K1968" s="4">
        <f>AdminY1*(1+AdminGrowth)^1966</f>
        <v>1.1281350855446603E+54</v>
      </c>
      <c r="L1968" s="4">
        <f t="shared" si="122"/>
        <v>2.3137466401877311E+70</v>
      </c>
      <c r="M1968" s="4">
        <f t="shared" si="123"/>
        <v>1.7909368992648723E+86</v>
      </c>
    </row>
    <row r="1969" spans="1:13" x14ac:dyDescent="0.2">
      <c r="A1969" s="3">
        <f>StartYear+1967</f>
        <v>3992</v>
      </c>
      <c r="B1969" s="4">
        <f>FacultyFTE*HoursPerWeek*WeeksPerYear*RatePerHour*(1+PracticeGrowth)^1967</f>
        <v>1.3763971298367111E+47</v>
      </c>
      <c r="C1969" s="4">
        <f>StudentsY1*(1+StudentGrowth)^1967*CreditsPerStudent*TuitionPerCredit</f>
        <v>8.6024820614794442E+47</v>
      </c>
      <c r="D1969" s="4">
        <f>SimRevY1*(1+SimGrowth)^1967</f>
        <v>1.3133537261275735E+86</v>
      </c>
      <c r="E1969" s="4">
        <f>FacDevRevY1*(1+FacDevGrowth)^1967</f>
        <v>6.5667686306378675E+85</v>
      </c>
      <c r="F1969" s="4">
        <f t="shared" si="120"/>
        <v>1.9700305891913602E+86</v>
      </c>
      <c r="G1969" s="4">
        <f t="shared" si="121"/>
        <v>1.9700305891913602E+86</v>
      </c>
      <c r="H1969" s="4">
        <f>SalaryFTECount*SalaryPerFTE*(1+SalaryGrowth)^1967</f>
        <v>6.711161584397961E+38</v>
      </c>
      <c r="I1969" s="4">
        <f>SimOpsY1*(1+SimOpsGrowth)^1967</f>
        <v>1.6658975809351666E+70</v>
      </c>
      <c r="J1969" s="4">
        <f>TrainDevY1*(1+TrainDevGrowth)^1967</f>
        <v>8.3294879046758328E+69</v>
      </c>
      <c r="K1969" s="4">
        <f>AdminY1*(1+AdminGrowth)^1967</f>
        <v>1.1958231906773404E+54</v>
      </c>
      <c r="L1969" s="4">
        <f t="shared" si="122"/>
        <v>2.4988463714027498E+70</v>
      </c>
      <c r="M1969" s="4">
        <f t="shared" si="123"/>
        <v>1.97003058919136E+86</v>
      </c>
    </row>
    <row r="1970" spans="1:13" x14ac:dyDescent="0.2">
      <c r="A1970" s="3">
        <f>StartYear+1968</f>
        <v>3993</v>
      </c>
      <c r="B1970" s="4">
        <f>FacultyFTE*HoursPerWeek*WeeksPerYear*RatePerHour*(1+PracticeGrowth)^1968</f>
        <v>1.4452169863285463E+47</v>
      </c>
      <c r="C1970" s="4">
        <f>StudentsY1*(1+StudentGrowth)^1968*CreditsPerStudent*TuitionPerCredit</f>
        <v>9.0326061645534151E+47</v>
      </c>
      <c r="D1970" s="4">
        <f>SimRevY1*(1+SimGrowth)^1968</f>
        <v>1.4446890987403306E+86</v>
      </c>
      <c r="E1970" s="4">
        <f>FacDevRevY1*(1+FacDevGrowth)^1968</f>
        <v>7.2234454937016528E+85</v>
      </c>
      <c r="F1970" s="4">
        <f t="shared" si="120"/>
        <v>2.1670336481104958E+86</v>
      </c>
      <c r="G1970" s="4">
        <f t="shared" si="121"/>
        <v>2.1670336481104958E+86</v>
      </c>
      <c r="H1970" s="4">
        <f>SalaryFTECount*SalaryPerFTE*(1+SalaryGrowth)^1968</f>
        <v>6.9796080477738788E+38</v>
      </c>
      <c r="I1970" s="4">
        <f>SimOpsY1*(1+SimOpsGrowth)^1968</f>
        <v>1.7991693874099799E+70</v>
      </c>
      <c r="J1970" s="4">
        <f>TrainDevY1*(1+TrainDevGrowth)^1968</f>
        <v>8.9958469370498994E+69</v>
      </c>
      <c r="K1970" s="4">
        <f>AdminY1*(1+AdminGrowth)^1968</f>
        <v>1.2675725821179803E+54</v>
      </c>
      <c r="L1970" s="4">
        <f t="shared" si="122"/>
        <v>2.6987540811149697E+70</v>
      </c>
      <c r="M1970" s="4">
        <f t="shared" si="123"/>
        <v>2.1670336481104956E+86</v>
      </c>
    </row>
    <row r="1971" spans="1:13" x14ac:dyDescent="0.2">
      <c r="A1971" s="3">
        <f>StartYear+1969</f>
        <v>3994</v>
      </c>
      <c r="B1971" s="4">
        <f>FacultyFTE*HoursPerWeek*WeeksPerYear*RatePerHour*(1+PracticeGrowth)^1969</f>
        <v>1.5174778356449738E+47</v>
      </c>
      <c r="C1971" s="4">
        <f>StudentsY1*(1+StudentGrowth)^1969*CreditsPerStudent*TuitionPerCredit</f>
        <v>9.4842364727810881E+47</v>
      </c>
      <c r="D1971" s="4">
        <f>SimRevY1*(1+SimGrowth)^1969</f>
        <v>1.5891580086143641E+86</v>
      </c>
      <c r="E1971" s="4">
        <f>FacDevRevY1*(1+FacDevGrowth)^1969</f>
        <v>7.9457900430718206E+85</v>
      </c>
      <c r="F1971" s="4">
        <f t="shared" si="120"/>
        <v>2.383737012921546E+86</v>
      </c>
      <c r="G1971" s="4">
        <f t="shared" si="121"/>
        <v>2.383737012921546E+86</v>
      </c>
      <c r="H1971" s="4">
        <f>SalaryFTECount*SalaryPerFTE*(1+SalaryGrowth)^1969</f>
        <v>7.2587923696848348E+38</v>
      </c>
      <c r="I1971" s="4">
        <f>SimOpsY1*(1+SimOpsGrowth)^1969</f>
        <v>1.9431029384027784E+70</v>
      </c>
      <c r="J1971" s="4">
        <f>TrainDevY1*(1+TrainDevGrowth)^1969</f>
        <v>9.7155146920138922E+69</v>
      </c>
      <c r="K1971" s="4">
        <f>AdminY1*(1+AdminGrowth)^1969</f>
        <v>1.3436269370450593E+54</v>
      </c>
      <c r="L1971" s="4">
        <f t="shared" si="122"/>
        <v>2.9146544076041677E+70</v>
      </c>
      <c r="M1971" s="4">
        <f t="shared" si="123"/>
        <v>2.3837370129215458E+86</v>
      </c>
    </row>
    <row r="1972" spans="1:13" x14ac:dyDescent="0.2">
      <c r="A1972" s="3">
        <f>StartYear+1970</f>
        <v>3995</v>
      </c>
      <c r="B1972" s="4">
        <f>FacultyFTE*HoursPerWeek*WeeksPerYear*RatePerHour*(1+PracticeGrowth)^1970</f>
        <v>1.5933517274272227E+47</v>
      </c>
      <c r="C1972" s="4">
        <f>StudentsY1*(1+StudentGrowth)^1970*CreditsPerStudent*TuitionPerCredit</f>
        <v>9.9584482964201429E+47</v>
      </c>
      <c r="D1972" s="4">
        <f>SimRevY1*(1+SimGrowth)^1970</f>
        <v>1.7480738094758006E+86</v>
      </c>
      <c r="E1972" s="4">
        <f>FacDevRevY1*(1+FacDevGrowth)^1970</f>
        <v>8.7403690473790031E+85</v>
      </c>
      <c r="F1972" s="4">
        <f t="shared" si="120"/>
        <v>2.6221107142137009E+86</v>
      </c>
      <c r="G1972" s="4">
        <f t="shared" si="121"/>
        <v>2.6221107142137009E+86</v>
      </c>
      <c r="H1972" s="4">
        <f>SalaryFTECount*SalaryPerFTE*(1+SalaryGrowth)^1970</f>
        <v>7.5491440644722288E+38</v>
      </c>
      <c r="I1972" s="4">
        <f>SimOpsY1*(1+SimOpsGrowth)^1970</f>
        <v>2.0985511734750006E+70</v>
      </c>
      <c r="J1972" s="4">
        <f>TrainDevY1*(1+TrainDevGrowth)^1970</f>
        <v>1.0492755867375003E+70</v>
      </c>
      <c r="K1972" s="4">
        <f>AdminY1*(1+AdminGrowth)^1970</f>
        <v>1.4242445532677629E+54</v>
      </c>
      <c r="L1972" s="4">
        <f t="shared" si="122"/>
        <v>3.1478267602125009E+70</v>
      </c>
      <c r="M1972" s="4">
        <f t="shared" si="123"/>
        <v>2.6221107142137004E+86</v>
      </c>
    </row>
    <row r="1973" spans="1:13" x14ac:dyDescent="0.2">
      <c r="A1973" s="3">
        <f>StartYear+1971</f>
        <v>3996</v>
      </c>
      <c r="B1973" s="4">
        <f>FacultyFTE*HoursPerWeek*WeeksPerYear*RatePerHour*(1+PracticeGrowth)^1971</f>
        <v>1.6730193137985837E+47</v>
      </c>
      <c r="C1973" s="4">
        <f>StudentsY1*(1+StudentGrowth)^1971*CreditsPerStudent*TuitionPerCredit</f>
        <v>1.0456370711241149E+48</v>
      </c>
      <c r="D1973" s="4">
        <f>SimRevY1*(1+SimGrowth)^1971</f>
        <v>1.9228811904233813E+86</v>
      </c>
      <c r="E1973" s="4">
        <f>FacDevRevY1*(1+FacDevGrowth)^1971</f>
        <v>9.6144059521169064E+85</v>
      </c>
      <c r="F1973" s="4">
        <f t="shared" si="120"/>
        <v>2.8843217856350718E+86</v>
      </c>
      <c r="G1973" s="4">
        <f t="shared" si="121"/>
        <v>2.8843217856350718E+86</v>
      </c>
      <c r="H1973" s="4">
        <f>SalaryFTECount*SalaryPerFTE*(1+SalaryGrowth)^1971</f>
        <v>7.8511098270511193E+38</v>
      </c>
      <c r="I1973" s="4">
        <f>SimOpsY1*(1+SimOpsGrowth)^1971</f>
        <v>2.2664352673530007E+70</v>
      </c>
      <c r="J1973" s="4">
        <f>TrainDevY1*(1+TrainDevGrowth)^1971</f>
        <v>1.1332176336765004E+70</v>
      </c>
      <c r="K1973" s="4">
        <f>AdminY1*(1+AdminGrowth)^1971</f>
        <v>1.5096992264638291E+54</v>
      </c>
      <c r="L1973" s="4">
        <f t="shared" si="122"/>
        <v>3.3996529010295009E+70</v>
      </c>
      <c r="M1973" s="4">
        <f t="shared" si="123"/>
        <v>2.8843217856350712E+86</v>
      </c>
    </row>
    <row r="1974" spans="1:13" x14ac:dyDescent="0.2">
      <c r="A1974" s="3">
        <f>StartYear+1972</f>
        <v>3997</v>
      </c>
      <c r="B1974" s="4">
        <f>FacultyFTE*HoursPerWeek*WeeksPerYear*RatePerHour*(1+PracticeGrowth)^1972</f>
        <v>1.756670279488513E+47</v>
      </c>
      <c r="C1974" s="4">
        <f>StudentsY1*(1+StudentGrowth)^1972*CreditsPerStudent*TuitionPerCredit</f>
        <v>1.0979189246803205E+48</v>
      </c>
      <c r="D1974" s="4">
        <f>SimRevY1*(1+SimGrowth)^1972</f>
        <v>2.1151693094657189E+86</v>
      </c>
      <c r="E1974" s="4">
        <f>FacDevRevY1*(1+FacDevGrowth)^1972</f>
        <v>1.0575846547328595E+86</v>
      </c>
      <c r="F1974" s="4">
        <f t="shared" si="120"/>
        <v>3.1727539641985781E+86</v>
      </c>
      <c r="G1974" s="4">
        <f t="shared" si="121"/>
        <v>3.1727539641985781E+86</v>
      </c>
      <c r="H1974" s="4">
        <f>SalaryFTECount*SalaryPerFTE*(1+SalaryGrowth)^1972</f>
        <v>8.165154220133163E+38</v>
      </c>
      <c r="I1974" s="4">
        <f>SimOpsY1*(1+SimOpsGrowth)^1972</f>
        <v>2.4477500887412406E+70</v>
      </c>
      <c r="J1974" s="4">
        <f>TrainDevY1*(1+TrainDevGrowth)^1972</f>
        <v>1.2238750443706203E+70</v>
      </c>
      <c r="K1974" s="4">
        <f>AdminY1*(1+AdminGrowth)^1972</f>
        <v>1.6002811800516584E+54</v>
      </c>
      <c r="L1974" s="4">
        <f t="shared" si="122"/>
        <v>3.671625133111861E+70</v>
      </c>
      <c r="M1974" s="4">
        <f t="shared" si="123"/>
        <v>3.1727539641985776E+86</v>
      </c>
    </row>
    <row r="1975" spans="1:13" x14ac:dyDescent="0.2">
      <c r="A1975" s="3">
        <f>StartYear+1973</f>
        <v>3998</v>
      </c>
      <c r="B1975" s="4">
        <f>FacultyFTE*HoursPerWeek*WeeksPerYear*RatePerHour*(1+PracticeGrowth)^1973</f>
        <v>1.8445037934629385E+47</v>
      </c>
      <c r="C1975" s="4">
        <f>StudentsY1*(1+StudentGrowth)^1973*CreditsPerStudent*TuitionPerCredit</f>
        <v>1.1528148709143367E+48</v>
      </c>
      <c r="D1975" s="4">
        <f>SimRevY1*(1+SimGrowth)^1973</f>
        <v>2.3266862404122911E+86</v>
      </c>
      <c r="E1975" s="4">
        <f>FacDevRevY1*(1+FacDevGrowth)^1973</f>
        <v>1.1633431202061455E+86</v>
      </c>
      <c r="F1975" s="4">
        <f t="shared" si="120"/>
        <v>3.4900293606184367E+86</v>
      </c>
      <c r="G1975" s="4">
        <f t="shared" si="121"/>
        <v>3.4900293606184367E+86</v>
      </c>
      <c r="H1975" s="4">
        <f>SalaryFTECount*SalaryPerFTE*(1+SalaryGrowth)^1973</f>
        <v>8.491760388938491E+38</v>
      </c>
      <c r="I1975" s="4">
        <f>SimOpsY1*(1+SimOpsGrowth)^1973</f>
        <v>2.6435700958405404E+70</v>
      </c>
      <c r="J1975" s="4">
        <f>TrainDevY1*(1+TrainDevGrowth)^1973</f>
        <v>1.3217850479202702E+70</v>
      </c>
      <c r="K1975" s="4">
        <f>AdminY1*(1+AdminGrowth)^1973</f>
        <v>1.6962980508547589E+54</v>
      </c>
      <c r="L1975" s="4">
        <f t="shared" si="122"/>
        <v>3.9653551437608105E+70</v>
      </c>
      <c r="M1975" s="4">
        <f t="shared" si="123"/>
        <v>3.4900293606184362E+86</v>
      </c>
    </row>
    <row r="1976" spans="1:13" x14ac:dyDescent="0.2">
      <c r="A1976" s="3">
        <f>StartYear+1974</f>
        <v>3999</v>
      </c>
      <c r="B1976" s="4">
        <f>FacultyFTE*HoursPerWeek*WeeksPerYear*RatePerHour*(1+PracticeGrowth)^1974</f>
        <v>1.9367289831360851E+47</v>
      </c>
      <c r="C1976" s="4">
        <f>StudentsY1*(1+StudentGrowth)^1974*CreditsPerStudent*TuitionPerCredit</f>
        <v>1.2104556144600533E+48</v>
      </c>
      <c r="D1976" s="4">
        <f>SimRevY1*(1+SimGrowth)^1974</f>
        <v>2.5593548644535197E+86</v>
      </c>
      <c r="E1976" s="4">
        <f>FacDevRevY1*(1+FacDevGrowth)^1974</f>
        <v>1.2796774322267599E+86</v>
      </c>
      <c r="F1976" s="4">
        <f t="shared" si="120"/>
        <v>3.8390322966802793E+86</v>
      </c>
      <c r="G1976" s="4">
        <f t="shared" si="121"/>
        <v>3.8390322966802793E+86</v>
      </c>
      <c r="H1976" s="4">
        <f>SalaryFTECount*SalaryPerFTE*(1+SalaryGrowth)^1974</f>
        <v>8.8314308044960296E+38</v>
      </c>
      <c r="I1976" s="4">
        <f>SimOpsY1*(1+SimOpsGrowth)^1974</f>
        <v>2.8550557035077844E+70</v>
      </c>
      <c r="J1976" s="4">
        <f>TrainDevY1*(1+TrainDevGrowth)^1974</f>
        <v>1.4275278517538922E+70</v>
      </c>
      <c r="K1976" s="4">
        <f>AdminY1*(1+AdminGrowth)^1974</f>
        <v>1.7980759339060437E+54</v>
      </c>
      <c r="L1976" s="4">
        <f t="shared" si="122"/>
        <v>4.2825835552616765E+70</v>
      </c>
      <c r="M1976" s="4">
        <f t="shared" si="123"/>
        <v>3.8390322966802788E+86</v>
      </c>
    </row>
    <row r="1977" spans="1:13" x14ac:dyDescent="0.2">
      <c r="A1977" s="3">
        <f>StartYear+1975</f>
        <v>4000</v>
      </c>
      <c r="B1977" s="4">
        <f>FacultyFTE*HoursPerWeek*WeeksPerYear*RatePerHour*(1+PracticeGrowth)^1975</f>
        <v>2.0335654322928904E+47</v>
      </c>
      <c r="C1977" s="4">
        <f>StudentsY1*(1+StudentGrowth)^1975*CreditsPerStudent*TuitionPerCredit</f>
        <v>1.2709783951830563E+48</v>
      </c>
      <c r="D1977" s="4">
        <f>SimRevY1*(1+SimGrowth)^1975</f>
        <v>2.8152903508988727E+86</v>
      </c>
      <c r="E1977" s="4">
        <f>FacDevRevY1*(1+FacDevGrowth)^1975</f>
        <v>1.4076451754494363E+86</v>
      </c>
      <c r="F1977" s="4">
        <f t="shared" si="120"/>
        <v>4.2229355263483087E+86</v>
      </c>
      <c r="G1977" s="4">
        <f t="shared" si="121"/>
        <v>4.2229355263483087E+86</v>
      </c>
      <c r="H1977" s="4">
        <f>SalaryFTECount*SalaryPerFTE*(1+SalaryGrowth)^1975</f>
        <v>9.1846880366758715E+38</v>
      </c>
      <c r="I1977" s="4">
        <f>SimOpsY1*(1+SimOpsGrowth)^1975</f>
        <v>3.0834601597884063E+70</v>
      </c>
      <c r="J1977" s="4">
        <f>TrainDevY1*(1+TrainDevGrowth)^1975</f>
        <v>1.5417300798942031E+70</v>
      </c>
      <c r="K1977" s="4">
        <f>AdminY1*(1+AdminGrowth)^1975</f>
        <v>1.9059604899404069E+54</v>
      </c>
      <c r="L1977" s="4">
        <f t="shared" si="122"/>
        <v>4.6251902396826091E+70</v>
      </c>
      <c r="M1977" s="4">
        <f t="shared" si="123"/>
        <v>4.2229355263483082E+86</v>
      </c>
    </row>
    <row r="1978" spans="1:13" x14ac:dyDescent="0.2">
      <c r="A1978" s="3">
        <f>StartYear+1976</f>
        <v>4001</v>
      </c>
      <c r="B1978" s="4">
        <f>FacultyFTE*HoursPerWeek*WeeksPerYear*RatePerHour*(1+PracticeGrowth)^1976</f>
        <v>2.1352437039075338E+47</v>
      </c>
      <c r="C1978" s="4">
        <f>StudentsY1*(1+StudentGrowth)^1976*CreditsPerStudent*TuitionPerCredit</f>
        <v>1.3345273149422086E+48</v>
      </c>
      <c r="D1978" s="4">
        <f>SimRevY1*(1+SimGrowth)^1976</f>
        <v>3.0968193859887595E+86</v>
      </c>
      <c r="E1978" s="4">
        <f>FacDevRevY1*(1+FacDevGrowth)^1976</f>
        <v>1.5484096929943798E+86</v>
      </c>
      <c r="F1978" s="4">
        <f t="shared" si="120"/>
        <v>4.645229078983139E+86</v>
      </c>
      <c r="G1978" s="4">
        <f t="shared" si="121"/>
        <v>4.645229078983139E+86</v>
      </c>
      <c r="H1978" s="4">
        <f>SalaryFTECount*SalaryPerFTE*(1+SalaryGrowth)^1976</f>
        <v>9.5520755581429073E+38</v>
      </c>
      <c r="I1978" s="4">
        <f>SimOpsY1*(1+SimOpsGrowth)^1976</f>
        <v>3.330136972571479E+70</v>
      </c>
      <c r="J1978" s="4">
        <f>TrainDevY1*(1+TrainDevGrowth)^1976</f>
        <v>1.6650684862857395E+70</v>
      </c>
      <c r="K1978" s="4">
        <f>AdminY1*(1+AdminGrowth)^1976</f>
        <v>2.0203181193368305E+54</v>
      </c>
      <c r="L1978" s="4">
        <f t="shared" si="122"/>
        <v>4.9952054588572185E+70</v>
      </c>
      <c r="M1978" s="4">
        <f t="shared" si="123"/>
        <v>4.6452290789831385E+86</v>
      </c>
    </row>
    <row r="1979" spans="1:13" x14ac:dyDescent="0.2">
      <c r="A1979" s="3">
        <f>StartYear+1977</f>
        <v>4002</v>
      </c>
      <c r="B1979" s="4">
        <f>FacultyFTE*HoursPerWeek*WeeksPerYear*RatePerHour*(1+PracticeGrowth)^1977</f>
        <v>2.2420058891029112E+47</v>
      </c>
      <c r="C1979" s="4">
        <f>StudentsY1*(1+StudentGrowth)^1977*CreditsPerStudent*TuitionPerCredit</f>
        <v>1.4012536806893195E+48</v>
      </c>
      <c r="D1979" s="4">
        <f>SimRevY1*(1+SimGrowth)^1977</f>
        <v>3.4065013245876361E+86</v>
      </c>
      <c r="E1979" s="4">
        <f>FacDevRevY1*(1+FacDevGrowth)^1977</f>
        <v>1.7032506622938181E+86</v>
      </c>
      <c r="F1979" s="4">
        <f t="shared" si="120"/>
        <v>5.1097519868814542E+86</v>
      </c>
      <c r="G1979" s="4">
        <f t="shared" si="121"/>
        <v>5.1097519868814542E+86</v>
      </c>
      <c r="H1979" s="4">
        <f>SalaryFTECount*SalaryPerFTE*(1+SalaryGrowth)^1977</f>
        <v>9.9341585804686258E+38</v>
      </c>
      <c r="I1979" s="4">
        <f>SimOpsY1*(1+SimOpsGrowth)^1977</f>
        <v>3.5965479303771979E+70</v>
      </c>
      <c r="J1979" s="4">
        <f>TrainDevY1*(1+TrainDevGrowth)^1977</f>
        <v>1.798273965188599E+70</v>
      </c>
      <c r="K1979" s="4">
        <f>AdminY1*(1+AdminGrowth)^1977</f>
        <v>2.1415372064970408E+54</v>
      </c>
      <c r="L1979" s="4">
        <f t="shared" si="122"/>
        <v>5.3948218955657969E+70</v>
      </c>
      <c r="M1979" s="4">
        <f t="shared" si="123"/>
        <v>5.1097519868814542E+86</v>
      </c>
    </row>
    <row r="1980" spans="1:13" x14ac:dyDescent="0.2">
      <c r="A1980" s="3">
        <f>StartYear+1978</f>
        <v>4003</v>
      </c>
      <c r="B1980" s="4">
        <f>FacultyFTE*HoursPerWeek*WeeksPerYear*RatePerHour*(1+PracticeGrowth)^1978</f>
        <v>2.3541061835580568E+47</v>
      </c>
      <c r="C1980" s="4">
        <f>StudentsY1*(1+StudentGrowth)^1978*CreditsPerStudent*TuitionPerCredit</f>
        <v>1.4713163647237854E+48</v>
      </c>
      <c r="D1980" s="4">
        <f>SimRevY1*(1+SimGrowth)^1978</f>
        <v>3.7471514570463998E+86</v>
      </c>
      <c r="E1980" s="4">
        <f>FacDevRevY1*(1+FacDevGrowth)^1978</f>
        <v>1.8735757285231999E+86</v>
      </c>
      <c r="F1980" s="4">
        <f t="shared" si="120"/>
        <v>5.6207271855695995E+86</v>
      </c>
      <c r="G1980" s="4">
        <f t="shared" si="121"/>
        <v>5.6207271855695995E+86</v>
      </c>
      <c r="H1980" s="4">
        <f>SalaryFTECount*SalaryPerFTE*(1+SalaryGrowth)^1978</f>
        <v>1.033152492368737E+39</v>
      </c>
      <c r="I1980" s="4">
        <f>SimOpsY1*(1+SimOpsGrowth)^1978</f>
        <v>3.8842717648073735E+70</v>
      </c>
      <c r="J1980" s="4">
        <f>TrainDevY1*(1+TrainDevGrowth)^1978</f>
        <v>1.9421358824036867E+70</v>
      </c>
      <c r="K1980" s="4">
        <f>AdminY1*(1+AdminGrowth)^1978</f>
        <v>2.2700294388868628E+54</v>
      </c>
      <c r="L1980" s="4">
        <f t="shared" si="122"/>
        <v>5.8264076472110605E+70</v>
      </c>
      <c r="M1980" s="4">
        <f t="shared" si="123"/>
        <v>5.6207271855695984E+86</v>
      </c>
    </row>
    <row r="1981" spans="1:13" x14ac:dyDescent="0.2">
      <c r="A1981" s="3">
        <f>StartYear+1979</f>
        <v>4004</v>
      </c>
      <c r="B1981" s="4">
        <f>FacultyFTE*HoursPerWeek*WeeksPerYear*RatePerHour*(1+PracticeGrowth)^1979</f>
        <v>2.4718114927359595E+47</v>
      </c>
      <c r="C1981" s="4">
        <f>StudentsY1*(1+StudentGrowth)^1979*CreditsPerStudent*TuitionPerCredit</f>
        <v>1.5448821829599747E+48</v>
      </c>
      <c r="D1981" s="4">
        <f>SimRevY1*(1+SimGrowth)^1979</f>
        <v>4.1218666027510402E+86</v>
      </c>
      <c r="E1981" s="4">
        <f>FacDevRevY1*(1+FacDevGrowth)^1979</f>
        <v>2.0609333013755201E+86</v>
      </c>
      <c r="F1981" s="4">
        <f t="shared" si="120"/>
        <v>6.1827999041265608E+86</v>
      </c>
      <c r="G1981" s="4">
        <f t="shared" si="121"/>
        <v>6.1827999041265608E+86</v>
      </c>
      <c r="H1981" s="4">
        <f>SalaryFTECount*SalaryPerFTE*(1+SalaryGrowth)^1979</f>
        <v>1.0744785920634865E+39</v>
      </c>
      <c r="I1981" s="4">
        <f>SimOpsY1*(1+SimOpsGrowth)^1979</f>
        <v>4.1950135059919631E+70</v>
      </c>
      <c r="J1981" s="4">
        <f>TrainDevY1*(1+TrainDevGrowth)^1979</f>
        <v>2.0975067529959816E+70</v>
      </c>
      <c r="K1981" s="4">
        <f>AdminY1*(1+AdminGrowth)^1979</f>
        <v>2.4062312052200752E+54</v>
      </c>
      <c r="L1981" s="4">
        <f t="shared" si="122"/>
        <v>6.292520258987944E+70</v>
      </c>
      <c r="M1981" s="4">
        <f t="shared" si="123"/>
        <v>6.1827999041265597E+86</v>
      </c>
    </row>
    <row r="1982" spans="1:13" x14ac:dyDescent="0.2">
      <c r="A1982" s="3">
        <f>StartYear+1980</f>
        <v>4005</v>
      </c>
      <c r="B1982" s="4">
        <f>FacultyFTE*HoursPerWeek*WeeksPerYear*RatePerHour*(1+PracticeGrowth)^1980</f>
        <v>2.5954020673727576E+47</v>
      </c>
      <c r="C1982" s="4">
        <f>StudentsY1*(1+StudentGrowth)^1980*CreditsPerStudent*TuitionPerCredit</f>
        <v>1.6221262921079735E+48</v>
      </c>
      <c r="D1982" s="4">
        <f>SimRevY1*(1+SimGrowth)^1980</f>
        <v>4.5340532630261444E+86</v>
      </c>
      <c r="E1982" s="4">
        <f>FacDevRevY1*(1+FacDevGrowth)^1980</f>
        <v>2.2670266315130722E+86</v>
      </c>
      <c r="F1982" s="4">
        <f t="shared" si="120"/>
        <v>6.8010798945392169E+86</v>
      </c>
      <c r="G1982" s="4">
        <f t="shared" si="121"/>
        <v>6.8010798945392169E+86</v>
      </c>
      <c r="H1982" s="4">
        <f>SalaryFTECount*SalaryPerFTE*(1+SalaryGrowth)^1980</f>
        <v>1.1174577357460263E+39</v>
      </c>
      <c r="I1982" s="4">
        <f>SimOpsY1*(1+SimOpsGrowth)^1980</f>
        <v>4.5306145864713206E+70</v>
      </c>
      <c r="J1982" s="4">
        <f>TrainDevY1*(1+TrainDevGrowth)^1980</f>
        <v>2.2653072932356603E+70</v>
      </c>
      <c r="K1982" s="4">
        <f>AdminY1*(1+AdminGrowth)^1980</f>
        <v>2.5506050775332803E+54</v>
      </c>
      <c r="L1982" s="4">
        <f t="shared" si="122"/>
        <v>6.7959218797069812E+70</v>
      </c>
      <c r="M1982" s="4">
        <f t="shared" si="123"/>
        <v>6.8010798945392158E+86</v>
      </c>
    </row>
    <row r="1983" spans="1:13" x14ac:dyDescent="0.2">
      <c r="A1983" s="3">
        <f>StartYear+1981</f>
        <v>4006</v>
      </c>
      <c r="B1983" s="4">
        <f>FacultyFTE*HoursPerWeek*WeeksPerYear*RatePerHour*(1+PracticeGrowth)^1981</f>
        <v>2.7251721707413951E+47</v>
      </c>
      <c r="C1983" s="4">
        <f>StudentsY1*(1+StudentGrowth)^1981*CreditsPerStudent*TuitionPerCredit</f>
        <v>1.703232606713372E+48</v>
      </c>
      <c r="D1983" s="4">
        <f>SimRevY1*(1+SimGrowth)^1981</f>
        <v>4.9874585893287589E+86</v>
      </c>
      <c r="E1983" s="4">
        <f>FacDevRevY1*(1+FacDevGrowth)^1981</f>
        <v>2.4937292946643795E+86</v>
      </c>
      <c r="F1983" s="4">
        <f t="shared" si="120"/>
        <v>7.4811878839931378E+86</v>
      </c>
      <c r="G1983" s="4">
        <f t="shared" si="121"/>
        <v>7.4811878839931378E+86</v>
      </c>
      <c r="H1983" s="4">
        <f>SalaryFTECount*SalaryPerFTE*(1+SalaryGrowth)^1981</f>
        <v>1.1621560451758673E+39</v>
      </c>
      <c r="I1983" s="4">
        <f>SimOpsY1*(1+SimOpsGrowth)^1981</f>
        <v>4.8930637533890263E+70</v>
      </c>
      <c r="J1983" s="4">
        <f>TrainDevY1*(1+TrainDevGrowth)^1981</f>
        <v>2.4465318766945132E+70</v>
      </c>
      <c r="K1983" s="4">
        <f>AdminY1*(1+AdminGrowth)^1981</f>
        <v>2.7036413821852774E+54</v>
      </c>
      <c r="L1983" s="4">
        <f t="shared" si="122"/>
        <v>7.3395956300835398E+70</v>
      </c>
      <c r="M1983" s="4">
        <f t="shared" si="123"/>
        <v>7.4811878839931367E+86</v>
      </c>
    </row>
    <row r="1984" spans="1:13" x14ac:dyDescent="0.2">
      <c r="A1984" s="3">
        <f>StartYear+1982</f>
        <v>4007</v>
      </c>
      <c r="B1984" s="4">
        <f>FacultyFTE*HoursPerWeek*WeeksPerYear*RatePerHour*(1+PracticeGrowth)^1982</f>
        <v>2.8614307792784651E+47</v>
      </c>
      <c r="C1984" s="4">
        <f>StudentsY1*(1+StudentGrowth)^1982*CreditsPerStudent*TuitionPerCredit</f>
        <v>1.7883942370490406E+48</v>
      </c>
      <c r="D1984" s="4">
        <f>SimRevY1*(1+SimGrowth)^1982</f>
        <v>5.4862044482616367E+86</v>
      </c>
      <c r="E1984" s="4">
        <f>FacDevRevY1*(1+FacDevGrowth)^1982</f>
        <v>2.7431022241308183E+86</v>
      </c>
      <c r="F1984" s="4">
        <f t="shared" si="120"/>
        <v>8.2293066723924545E+86</v>
      </c>
      <c r="G1984" s="4">
        <f t="shared" si="121"/>
        <v>8.2293066723924545E+86</v>
      </c>
      <c r="H1984" s="4">
        <f>SalaryFTECount*SalaryPerFTE*(1+SalaryGrowth)^1982</f>
        <v>1.2086422869829017E+39</v>
      </c>
      <c r="I1984" s="4">
        <f>SimOpsY1*(1+SimOpsGrowth)^1982</f>
        <v>5.2845088536601491E+70</v>
      </c>
      <c r="J1984" s="4">
        <f>TrainDevY1*(1+TrainDevGrowth)^1982</f>
        <v>2.6422544268300746E+70</v>
      </c>
      <c r="K1984" s="4">
        <f>AdminY1*(1+AdminGrowth)^1982</f>
        <v>2.865859865116394E+54</v>
      </c>
      <c r="L1984" s="4">
        <f t="shared" si="122"/>
        <v>7.9267632804902234E+70</v>
      </c>
      <c r="M1984" s="4">
        <f t="shared" si="123"/>
        <v>8.2293066723924534E+86</v>
      </c>
    </row>
    <row r="1985" spans="1:13" x14ac:dyDescent="0.2">
      <c r="A1985" s="3">
        <f>StartYear+1983</f>
        <v>4008</v>
      </c>
      <c r="B1985" s="4">
        <f>FacultyFTE*HoursPerWeek*WeeksPerYear*RatePerHour*(1+PracticeGrowth)^1983</f>
        <v>3.0045023182423889E+47</v>
      </c>
      <c r="C1985" s="4">
        <f>StudentsY1*(1+StudentGrowth)^1983*CreditsPerStudent*TuitionPerCredit</f>
        <v>1.877813948901493E+48</v>
      </c>
      <c r="D1985" s="4">
        <f>SimRevY1*(1+SimGrowth)^1983</f>
        <v>6.0348248930877987E+86</v>
      </c>
      <c r="E1985" s="4">
        <f>FacDevRevY1*(1+FacDevGrowth)^1983</f>
        <v>3.0174124465438994E+86</v>
      </c>
      <c r="F1985" s="4">
        <f t="shared" si="120"/>
        <v>9.0522373396316975E+86</v>
      </c>
      <c r="G1985" s="4">
        <f t="shared" si="121"/>
        <v>9.0522373396316975E+86</v>
      </c>
      <c r="H1985" s="4">
        <f>SalaryFTECount*SalaryPerFTE*(1+SalaryGrowth)^1983</f>
        <v>1.2569879784622178E+39</v>
      </c>
      <c r="I1985" s="4">
        <f>SimOpsY1*(1+SimOpsGrowth)^1983</f>
        <v>5.7072695619529625E+70</v>
      </c>
      <c r="J1985" s="4">
        <f>TrainDevY1*(1+TrainDevGrowth)^1983</f>
        <v>2.8536347809764812E+70</v>
      </c>
      <c r="K1985" s="4">
        <f>AdminY1*(1+AdminGrowth)^1983</f>
        <v>3.0378114570233788E+54</v>
      </c>
      <c r="L1985" s="4">
        <f t="shared" si="122"/>
        <v>8.5609043429294437E+70</v>
      </c>
      <c r="M1985" s="4">
        <f t="shared" si="123"/>
        <v>9.0522373396316964E+86</v>
      </c>
    </row>
    <row r="1986" spans="1:13" x14ac:dyDescent="0.2">
      <c r="A1986" s="3">
        <f>StartYear+1984</f>
        <v>4009</v>
      </c>
      <c r="B1986" s="4">
        <f>FacultyFTE*HoursPerWeek*WeeksPerYear*RatePerHour*(1+PracticeGrowth)^1984</f>
        <v>3.154727434154508E+47</v>
      </c>
      <c r="C1986" s="4">
        <f>StudentsY1*(1+StudentGrowth)^1984*CreditsPerStudent*TuitionPerCredit</f>
        <v>1.9717046463465675E+48</v>
      </c>
      <c r="D1986" s="4">
        <f>SimRevY1*(1+SimGrowth)^1984</f>
        <v>6.6383073823965783E+86</v>
      </c>
      <c r="E1986" s="4">
        <f>FacDevRevY1*(1+FacDevGrowth)^1984</f>
        <v>3.3191536911982891E+86</v>
      </c>
      <c r="F1986" s="4">
        <f t="shared" ref="F1986:F2026" si="124">C1986+D1986+E1986</f>
        <v>9.9574610735948679E+86</v>
      </c>
      <c r="G1986" s="4">
        <f t="shared" ref="G1986:G2026" si="125">B1986+F1986</f>
        <v>9.9574610735948679E+86</v>
      </c>
      <c r="H1986" s="4">
        <f>SalaryFTECount*SalaryPerFTE*(1+SalaryGrowth)^1984</f>
        <v>1.3072674976007065E+39</v>
      </c>
      <c r="I1986" s="4">
        <f>SimOpsY1*(1+SimOpsGrowth)^1984</f>
        <v>6.1638511269091989E+70</v>
      </c>
      <c r="J1986" s="4">
        <f>TrainDevY1*(1+TrainDevGrowth)^1984</f>
        <v>3.0819255634545994E+70</v>
      </c>
      <c r="K1986" s="4">
        <f>AdminY1*(1+AdminGrowth)^1984</f>
        <v>3.22008014444478E+54</v>
      </c>
      <c r="L1986" s="4">
        <f t="shared" ref="L1986:L2026" si="126">SUM(H1986:K1986)</f>
        <v>9.2457766903637983E+70</v>
      </c>
      <c r="M1986" s="4">
        <f t="shared" ref="M1986:M2026" si="127">G1986-L1986</f>
        <v>9.9574610735948679E+86</v>
      </c>
    </row>
    <row r="1987" spans="1:13" x14ac:dyDescent="0.2">
      <c r="A1987" s="3">
        <f>StartYear+1985</f>
        <v>4010</v>
      </c>
      <c r="B1987" s="4">
        <f>FacultyFTE*HoursPerWeek*WeeksPerYear*RatePerHour*(1+PracticeGrowth)^1985</f>
        <v>3.3124638058622338E+47</v>
      </c>
      <c r="C1987" s="4">
        <f>StudentsY1*(1+StudentGrowth)^1985*CreditsPerStudent*TuitionPerCredit</f>
        <v>2.0702898786638963E+48</v>
      </c>
      <c r="D1987" s="4">
        <f>SimRevY1*(1+SimGrowth)^1985</f>
        <v>7.3021381206362393E+86</v>
      </c>
      <c r="E1987" s="4">
        <f>FacDevRevY1*(1+FacDevGrowth)^1985</f>
        <v>3.6510690603181196E+86</v>
      </c>
      <c r="F1987" s="4">
        <f t="shared" si="124"/>
        <v>1.0953207180954359E+87</v>
      </c>
      <c r="G1987" s="4">
        <f t="shared" si="125"/>
        <v>1.0953207180954359E+87</v>
      </c>
      <c r="H1987" s="4">
        <f>SalaryFTECount*SalaryPerFTE*(1+SalaryGrowth)^1985</f>
        <v>1.3595581975047351E+39</v>
      </c>
      <c r="I1987" s="4">
        <f>SimOpsY1*(1+SimOpsGrowth)^1985</f>
        <v>6.6569592170619368E+70</v>
      </c>
      <c r="J1987" s="4">
        <f>TrainDevY1*(1+TrainDevGrowth)^1985</f>
        <v>3.3284796085309684E+70</v>
      </c>
      <c r="K1987" s="4">
        <f>AdminY1*(1+AdminGrowth)^1985</f>
        <v>3.4132849531114674E+54</v>
      </c>
      <c r="L1987" s="4">
        <f t="shared" si="126"/>
        <v>9.9854388255929058E+70</v>
      </c>
      <c r="M1987" s="4">
        <f t="shared" si="127"/>
        <v>1.0953207180954359E+87</v>
      </c>
    </row>
    <row r="1988" spans="1:13" x14ac:dyDescent="0.2">
      <c r="A1988" s="3">
        <f>StartYear+1986</f>
        <v>4011</v>
      </c>
      <c r="B1988" s="4">
        <f>FacultyFTE*HoursPerWeek*WeeksPerYear*RatePerHour*(1+PracticeGrowth)^1986</f>
        <v>3.4780869961553447E+47</v>
      </c>
      <c r="C1988" s="4">
        <f>StudentsY1*(1+StudentGrowth)^1986*CreditsPerStudent*TuitionPerCredit</f>
        <v>2.1738043725970904E+48</v>
      </c>
      <c r="D1988" s="4">
        <f>SimRevY1*(1+SimGrowth)^1986</f>
        <v>8.0323519326998632E+86</v>
      </c>
      <c r="E1988" s="4">
        <f>FacDevRevY1*(1+FacDevGrowth)^1986</f>
        <v>4.0161759663499316E+86</v>
      </c>
      <c r="F1988" s="4">
        <f t="shared" si="124"/>
        <v>1.2048527899049796E+87</v>
      </c>
      <c r="G1988" s="4">
        <f t="shared" si="125"/>
        <v>1.2048527899049796E+87</v>
      </c>
      <c r="H1988" s="4">
        <f>SalaryFTECount*SalaryPerFTE*(1+SalaryGrowth)^1986</f>
        <v>1.4139405254049245E+39</v>
      </c>
      <c r="I1988" s="4">
        <f>SimOpsY1*(1+SimOpsGrowth)^1986</f>
        <v>7.1895159544268903E+70</v>
      </c>
      <c r="J1988" s="4">
        <f>TrainDevY1*(1+TrainDevGrowth)^1986</f>
        <v>3.5947579772134452E+70</v>
      </c>
      <c r="K1988" s="4">
        <f>AdminY1*(1+AdminGrowth)^1986</f>
        <v>3.6180820502981558E+54</v>
      </c>
      <c r="L1988" s="4">
        <f t="shared" si="126"/>
        <v>1.0784273931640336E+71</v>
      </c>
      <c r="M1988" s="4">
        <f t="shared" si="127"/>
        <v>1.2048527899049796E+87</v>
      </c>
    </row>
    <row r="1989" spans="1:13" x14ac:dyDescent="0.2">
      <c r="A1989" s="3">
        <f>StartYear+1987</f>
        <v>4012</v>
      </c>
      <c r="B1989" s="4">
        <f>FacultyFTE*HoursPerWeek*WeeksPerYear*RatePerHour*(1+PracticeGrowth)^1987</f>
        <v>3.6519913459631129E+47</v>
      </c>
      <c r="C1989" s="4">
        <f>StudentsY1*(1+StudentGrowth)^1987*CreditsPerStudent*TuitionPerCredit</f>
        <v>2.2824945912269457E+48</v>
      </c>
      <c r="D1989" s="4">
        <f>SimRevY1*(1+SimGrowth)^1987</f>
        <v>8.8355871259698511E+86</v>
      </c>
      <c r="E1989" s="4">
        <f>FacDevRevY1*(1+FacDevGrowth)^1987</f>
        <v>4.4177935629849255E+86</v>
      </c>
      <c r="F1989" s="4">
        <f t="shared" si="124"/>
        <v>1.3253380688954776E+87</v>
      </c>
      <c r="G1989" s="4">
        <f t="shared" si="125"/>
        <v>1.3253380688954776E+87</v>
      </c>
      <c r="H1989" s="4">
        <f>SalaryFTECount*SalaryPerFTE*(1+SalaryGrowth)^1987</f>
        <v>1.4704981464211214E+39</v>
      </c>
      <c r="I1989" s="4">
        <f>SimOpsY1*(1+SimOpsGrowth)^1987</f>
        <v>7.7646772307810432E+70</v>
      </c>
      <c r="J1989" s="4">
        <f>TrainDevY1*(1+TrainDevGrowth)^1987</f>
        <v>3.8823386153905216E+70</v>
      </c>
      <c r="K1989" s="4">
        <f>AdminY1*(1+AdminGrowth)^1987</f>
        <v>3.835166973316045E+54</v>
      </c>
      <c r="L1989" s="4">
        <f t="shared" si="126"/>
        <v>1.1647015846171565E+71</v>
      </c>
      <c r="M1989" s="4">
        <f t="shared" si="127"/>
        <v>1.3253380688954773E+87</v>
      </c>
    </row>
    <row r="1990" spans="1:13" x14ac:dyDescent="0.2">
      <c r="A1990" s="3">
        <f>StartYear+1988</f>
        <v>4013</v>
      </c>
      <c r="B1990" s="4">
        <f>FacultyFTE*HoursPerWeek*WeeksPerYear*RatePerHour*(1+PracticeGrowth)^1988</f>
        <v>3.8345909132612686E+47</v>
      </c>
      <c r="C1990" s="4">
        <f>StudentsY1*(1+StudentGrowth)^1988*CreditsPerStudent*TuitionPerCredit</f>
        <v>2.3966193207882926E+48</v>
      </c>
      <c r="D1990" s="4">
        <f>SimRevY1*(1+SimGrowth)^1988</f>
        <v>9.719145838566836E+86</v>
      </c>
      <c r="E1990" s="4">
        <f>FacDevRevY1*(1+FacDevGrowth)^1988</f>
        <v>4.859572919283418E+86</v>
      </c>
      <c r="F1990" s="4">
        <f t="shared" si="124"/>
        <v>1.4578718757850254E+87</v>
      </c>
      <c r="G1990" s="4">
        <f t="shared" si="125"/>
        <v>1.4578718757850254E+87</v>
      </c>
      <c r="H1990" s="4">
        <f>SalaryFTECount*SalaryPerFTE*(1+SalaryGrowth)^1988</f>
        <v>1.5293180722779665E+39</v>
      </c>
      <c r="I1990" s="4">
        <f>SimOpsY1*(1+SimOpsGrowth)^1988</f>
        <v>8.3858514092435261E+70</v>
      </c>
      <c r="J1990" s="4">
        <f>TrainDevY1*(1+TrainDevGrowth)^1988</f>
        <v>4.192925704621763E+70</v>
      </c>
      <c r="K1990" s="4">
        <f>AdminY1*(1+AdminGrowth)^1988</f>
        <v>4.065276991715008E+54</v>
      </c>
      <c r="L1990" s="4">
        <f t="shared" si="126"/>
        <v>1.2578777113865288E+71</v>
      </c>
      <c r="M1990" s="4">
        <f t="shared" si="127"/>
        <v>1.4578718757850252E+87</v>
      </c>
    </row>
    <row r="1991" spans="1:13" x14ac:dyDescent="0.2">
      <c r="A1991" s="3">
        <f>StartYear+1989</f>
        <v>4014</v>
      </c>
      <c r="B1991" s="4">
        <f>FacultyFTE*HoursPerWeek*WeeksPerYear*RatePerHour*(1+PracticeGrowth)^1989</f>
        <v>4.0263204589243325E+47</v>
      </c>
      <c r="C1991" s="4">
        <f>StudentsY1*(1+StudentGrowth)^1989*CreditsPerStudent*TuitionPerCredit</f>
        <v>2.5164502868277079E+48</v>
      </c>
      <c r="D1991" s="4">
        <f>SimRevY1*(1+SimGrowth)^1989</f>
        <v>1.0691060422423522E+87</v>
      </c>
      <c r="E1991" s="4">
        <f>FacDevRevY1*(1+FacDevGrowth)^1989</f>
        <v>5.3455302112117609E+86</v>
      </c>
      <c r="F1991" s="4">
        <f t="shared" si="124"/>
        <v>1.6036590633635283E+87</v>
      </c>
      <c r="G1991" s="4">
        <f t="shared" si="125"/>
        <v>1.6036590633635283E+87</v>
      </c>
      <c r="H1991" s="4">
        <f>SalaryFTECount*SalaryPerFTE*(1+SalaryGrowth)^1989</f>
        <v>1.5904907951690849E+39</v>
      </c>
      <c r="I1991" s="4">
        <f>SimOpsY1*(1+SimOpsGrowth)^1989</f>
        <v>9.0567195219830081E+70</v>
      </c>
      <c r="J1991" s="4">
        <f>TrainDevY1*(1+TrainDevGrowth)^1989</f>
        <v>4.528359760991504E+70</v>
      </c>
      <c r="K1991" s="4">
        <f>AdminY1*(1+AdminGrowth)^1989</f>
        <v>4.3091936112179077E+54</v>
      </c>
      <c r="L1991" s="4">
        <f t="shared" si="126"/>
        <v>1.3585079282974512E+71</v>
      </c>
      <c r="M1991" s="4">
        <f t="shared" si="127"/>
        <v>1.603659063363528E+87</v>
      </c>
    </row>
    <row r="1992" spans="1:13" x14ac:dyDescent="0.2">
      <c r="A1992" s="3">
        <f>StartYear+1990</f>
        <v>4015</v>
      </c>
      <c r="B1992" s="4">
        <f>FacultyFTE*HoursPerWeek*WeeksPerYear*RatePerHour*(1+PracticeGrowth)^1990</f>
        <v>4.2276364818705479E+47</v>
      </c>
      <c r="C1992" s="4">
        <f>StudentsY1*(1+StudentGrowth)^1990*CreditsPerStudent*TuitionPerCredit</f>
        <v>2.6422728011690922E+48</v>
      </c>
      <c r="D1992" s="4">
        <f>SimRevY1*(1+SimGrowth)^1990</f>
        <v>1.1760166464665872E+87</v>
      </c>
      <c r="E1992" s="4">
        <f>FacDevRevY1*(1+FacDevGrowth)^1990</f>
        <v>5.8800832323329361E+86</v>
      </c>
      <c r="F1992" s="4">
        <f t="shared" si="124"/>
        <v>1.7640249696998808E+87</v>
      </c>
      <c r="G1992" s="4">
        <f t="shared" si="125"/>
        <v>1.7640249696998808E+87</v>
      </c>
      <c r="H1992" s="4">
        <f>SalaryFTECount*SalaryPerFTE*(1+SalaryGrowth)^1990</f>
        <v>1.6541104269758485E+39</v>
      </c>
      <c r="I1992" s="4">
        <f>SimOpsY1*(1+SimOpsGrowth)^1990</f>
        <v>9.7812570837416514E+70</v>
      </c>
      <c r="J1992" s="4">
        <f>TrainDevY1*(1+TrainDevGrowth)^1990</f>
        <v>4.8906285418708257E+70</v>
      </c>
      <c r="K1992" s="4">
        <f>AdminY1*(1+AdminGrowth)^1990</f>
        <v>4.5677452278909837E+54</v>
      </c>
      <c r="L1992" s="4">
        <f t="shared" si="126"/>
        <v>1.4671885625612476E+71</v>
      </c>
      <c r="M1992" s="4">
        <f t="shared" si="127"/>
        <v>1.7640249696998806E+87</v>
      </c>
    </row>
    <row r="1993" spans="1:13" x14ac:dyDescent="0.2">
      <c r="A1993" s="3">
        <f>StartYear+1991</f>
        <v>4016</v>
      </c>
      <c r="B1993" s="4">
        <f>FacultyFTE*HoursPerWeek*WeeksPerYear*RatePerHour*(1+PracticeGrowth)^1991</f>
        <v>4.4390183059640764E+47</v>
      </c>
      <c r="C1993" s="4">
        <f>StudentsY1*(1+StudentGrowth)^1991*CreditsPerStudent*TuitionPerCredit</f>
        <v>2.7743864412275479E+48</v>
      </c>
      <c r="D1993" s="4">
        <f>SimRevY1*(1+SimGrowth)^1991</f>
        <v>1.2936183111132463E+87</v>
      </c>
      <c r="E1993" s="4">
        <f>FacDevRevY1*(1+FacDevGrowth)^1991</f>
        <v>6.4680915555662317E+86</v>
      </c>
      <c r="F1993" s="4">
        <f t="shared" si="124"/>
        <v>1.9404274666698696E+87</v>
      </c>
      <c r="G1993" s="4">
        <f t="shared" si="125"/>
        <v>1.9404274666698696E+87</v>
      </c>
      <c r="H1993" s="4">
        <f>SalaryFTECount*SalaryPerFTE*(1+SalaryGrowth)^1991</f>
        <v>1.7202748440548821E+39</v>
      </c>
      <c r="I1993" s="4">
        <f>SimOpsY1*(1+SimOpsGrowth)^1991</f>
        <v>1.0563757650440983E+71</v>
      </c>
      <c r="J1993" s="4">
        <f>TrainDevY1*(1+TrainDevGrowth)^1991</f>
        <v>5.2818788252204917E+70</v>
      </c>
      <c r="K1993" s="4">
        <f>AdminY1*(1+AdminGrowth)^1991</f>
        <v>4.8418099415644444E+54</v>
      </c>
      <c r="L1993" s="4">
        <f t="shared" si="126"/>
        <v>1.5845636475661474E+71</v>
      </c>
      <c r="M1993" s="4">
        <f t="shared" si="127"/>
        <v>1.9404274666698694E+87</v>
      </c>
    </row>
    <row r="1994" spans="1:13" x14ac:dyDescent="0.2">
      <c r="A1994" s="3">
        <f>StartYear+1992</f>
        <v>4017</v>
      </c>
      <c r="B1994" s="4">
        <f>FacultyFTE*HoursPerWeek*WeeksPerYear*RatePerHour*(1+PracticeGrowth)^1992</f>
        <v>4.6609692212622802E+47</v>
      </c>
      <c r="C1994" s="4">
        <f>StudentsY1*(1+StudentGrowth)^1992*CreditsPerStudent*TuitionPerCredit</f>
        <v>2.9131057632889247E+48</v>
      </c>
      <c r="D1994" s="4">
        <f>SimRevY1*(1+SimGrowth)^1992</f>
        <v>1.4229801422245709E+87</v>
      </c>
      <c r="E1994" s="4">
        <f>FacDevRevY1*(1+FacDevGrowth)^1992</f>
        <v>7.1149007111228543E+86</v>
      </c>
      <c r="F1994" s="4">
        <f t="shared" si="124"/>
        <v>2.1344702133368564E+87</v>
      </c>
      <c r="G1994" s="4">
        <f t="shared" si="125"/>
        <v>2.1344702133368564E+87</v>
      </c>
      <c r="H1994" s="4">
        <f>SalaryFTECount*SalaryPerFTE*(1+SalaryGrowth)^1992</f>
        <v>1.7890858378170779E+39</v>
      </c>
      <c r="I1994" s="4">
        <f>SimOpsY1*(1+SimOpsGrowth)^1992</f>
        <v>1.1408858262476263E+71</v>
      </c>
      <c r="J1994" s="4">
        <f>TrainDevY1*(1+TrainDevGrowth)^1992</f>
        <v>5.7044291312381313E+70</v>
      </c>
      <c r="K1994" s="4">
        <f>AdminY1*(1+AdminGrowth)^1992</f>
        <v>5.1323185380583093E+54</v>
      </c>
      <c r="L1994" s="4">
        <f t="shared" si="126"/>
        <v>1.7113287393714394E+71</v>
      </c>
      <c r="M1994" s="4">
        <f t="shared" si="127"/>
        <v>2.1344702133368564E+87</v>
      </c>
    </row>
    <row r="1995" spans="1:13" x14ac:dyDescent="0.2">
      <c r="A1995" s="3">
        <f>StartYear+1993</f>
        <v>4018</v>
      </c>
      <c r="B1995" s="4">
        <f>FacultyFTE*HoursPerWeek*WeeksPerYear*RatePerHour*(1+PracticeGrowth)^1993</f>
        <v>4.8940176823253934E+47</v>
      </c>
      <c r="C1995" s="4">
        <f>StudentsY1*(1+StudentGrowth)^1993*CreditsPerStudent*TuitionPerCredit</f>
        <v>3.0587610514533703E+48</v>
      </c>
      <c r="D1995" s="4">
        <f>SimRevY1*(1+SimGrowth)^1993</f>
        <v>1.5652781564470279E+87</v>
      </c>
      <c r="E1995" s="4">
        <f>FacDevRevY1*(1+FacDevGrowth)^1993</f>
        <v>7.8263907822351394E+86</v>
      </c>
      <c r="F1995" s="4">
        <f t="shared" si="124"/>
        <v>2.347917234670542E+87</v>
      </c>
      <c r="G1995" s="4">
        <f t="shared" si="125"/>
        <v>2.347917234670542E+87</v>
      </c>
      <c r="H1995" s="4">
        <f>SalaryFTECount*SalaryPerFTE*(1+SalaryGrowth)^1993</f>
        <v>1.8606492713297612E+39</v>
      </c>
      <c r="I1995" s="4">
        <f>SimOpsY1*(1+SimOpsGrowth)^1993</f>
        <v>1.2321566923474368E+71</v>
      </c>
      <c r="J1995" s="4">
        <f>TrainDevY1*(1+TrainDevGrowth)^1993</f>
        <v>6.160783461737184E+70</v>
      </c>
      <c r="K1995" s="4">
        <f>AdminY1*(1+AdminGrowth)^1993</f>
        <v>5.4402576503418077E+54</v>
      </c>
      <c r="L1995" s="4">
        <f t="shared" si="126"/>
        <v>1.8482350385211553E+71</v>
      </c>
      <c r="M1995" s="4">
        <f t="shared" si="127"/>
        <v>2.347917234670542E+87</v>
      </c>
    </row>
    <row r="1996" spans="1:13" x14ac:dyDescent="0.2">
      <c r="A1996" s="3">
        <f>StartYear+1994</f>
        <v>4019</v>
      </c>
      <c r="B1996" s="4">
        <f>FacultyFTE*HoursPerWeek*WeeksPerYear*RatePerHour*(1+PracticeGrowth)^1994</f>
        <v>5.1387185664416622E+47</v>
      </c>
      <c r="C1996" s="4">
        <f>StudentsY1*(1+StudentGrowth)^1994*CreditsPerStudent*TuitionPerCredit</f>
        <v>3.2116991040260386E+48</v>
      </c>
      <c r="D1996" s="4">
        <f>SimRevY1*(1+SimGrowth)^1994</f>
        <v>1.7218059720917307E+87</v>
      </c>
      <c r="E1996" s="4">
        <f>FacDevRevY1*(1+FacDevGrowth)^1994</f>
        <v>8.6090298604586536E+86</v>
      </c>
      <c r="F1996" s="4">
        <f t="shared" si="124"/>
        <v>2.5827089581375961E+87</v>
      </c>
      <c r="G1996" s="4">
        <f t="shared" si="125"/>
        <v>2.5827089581375961E+87</v>
      </c>
      <c r="H1996" s="4">
        <f>SalaryFTECount*SalaryPerFTE*(1+SalaryGrowth)^1994</f>
        <v>1.9350752421829519E+39</v>
      </c>
      <c r="I1996" s="4">
        <f>SimOpsY1*(1+SimOpsGrowth)^1994</f>
        <v>1.3307292277352316E+71</v>
      </c>
      <c r="J1996" s="4">
        <f>TrainDevY1*(1+TrainDevGrowth)^1994</f>
        <v>6.653646138676158E+70</v>
      </c>
      <c r="K1996" s="4">
        <f>AdminY1*(1+AdminGrowth)^1994</f>
        <v>5.7666731093623172E+54</v>
      </c>
      <c r="L1996" s="4">
        <f t="shared" si="126"/>
        <v>1.9960938416028473E+71</v>
      </c>
      <c r="M1996" s="4">
        <f t="shared" si="127"/>
        <v>2.5827089581375961E+87</v>
      </c>
    </row>
    <row r="1997" spans="1:13" x14ac:dyDescent="0.2">
      <c r="A1997" s="3">
        <f>StartYear+1995</f>
        <v>4020</v>
      </c>
      <c r="B1997" s="4">
        <f>FacultyFTE*HoursPerWeek*WeeksPerYear*RatePerHour*(1+PracticeGrowth)^1995</f>
        <v>5.3956544947637464E+47</v>
      </c>
      <c r="C1997" s="4">
        <f>StudentsY1*(1+StudentGrowth)^1995*CreditsPerStudent*TuitionPerCredit</f>
        <v>3.3722840592273411E+48</v>
      </c>
      <c r="D1997" s="4">
        <f>SimRevY1*(1+SimGrowth)^1995</f>
        <v>1.893986569300904E+87</v>
      </c>
      <c r="E1997" s="4">
        <f>FacDevRevY1*(1+FacDevGrowth)^1995</f>
        <v>9.4699328465045202E+86</v>
      </c>
      <c r="F1997" s="4">
        <f t="shared" si="124"/>
        <v>2.8409798539513561E+87</v>
      </c>
      <c r="G1997" s="4">
        <f t="shared" si="125"/>
        <v>2.8409798539513561E+87</v>
      </c>
      <c r="H1997" s="4">
        <f>SalaryFTECount*SalaryPerFTE*(1+SalaryGrowth)^1995</f>
        <v>2.0124782518702697E+39</v>
      </c>
      <c r="I1997" s="4">
        <f>SimOpsY1*(1+SimOpsGrowth)^1995</f>
        <v>1.4371875659540502E+71</v>
      </c>
      <c r="J1997" s="4">
        <f>TrainDevY1*(1+TrainDevGrowth)^1995</f>
        <v>7.1859378297702511E+70</v>
      </c>
      <c r="K1997" s="4">
        <f>AdminY1*(1+AdminGrowth)^1995</f>
        <v>6.1126734959240562E+54</v>
      </c>
      <c r="L1997" s="4">
        <f t="shared" si="126"/>
        <v>2.1557813489310753E+71</v>
      </c>
      <c r="M1997" s="4">
        <f t="shared" si="127"/>
        <v>2.8409798539513561E+87</v>
      </c>
    </row>
    <row r="1998" spans="1:13" x14ac:dyDescent="0.2">
      <c r="A1998" s="3">
        <f>StartYear+1996</f>
        <v>4021</v>
      </c>
      <c r="B1998" s="4">
        <f>FacultyFTE*HoursPerWeek*WeeksPerYear*RatePerHour*(1+PracticeGrowth)^1996</f>
        <v>5.665437219501934E+47</v>
      </c>
      <c r="C1998" s="4">
        <f>StudentsY1*(1+StudentGrowth)^1996*CreditsPerStudent*TuitionPerCredit</f>
        <v>3.5408982621887088E+48</v>
      </c>
      <c r="D1998" s="4">
        <f>SimRevY1*(1+SimGrowth)^1996</f>
        <v>2.0833852262309947E+87</v>
      </c>
      <c r="E1998" s="4">
        <f>FacDevRevY1*(1+FacDevGrowth)^1996</f>
        <v>1.0416926131154974E+87</v>
      </c>
      <c r="F1998" s="4">
        <f t="shared" si="124"/>
        <v>3.1250778393464923E+87</v>
      </c>
      <c r="G1998" s="4">
        <f t="shared" si="125"/>
        <v>3.1250778393464923E+87</v>
      </c>
      <c r="H1998" s="4">
        <f>SalaryFTECount*SalaryPerFTE*(1+SalaryGrowth)^1996</f>
        <v>2.0929773819450804E+39</v>
      </c>
      <c r="I1998" s="4">
        <f>SimOpsY1*(1+SimOpsGrowth)^1996</f>
        <v>1.5521625712303741E+71</v>
      </c>
      <c r="J1998" s="4">
        <f>TrainDevY1*(1+TrainDevGrowth)^1996</f>
        <v>7.7608128561518707E+70</v>
      </c>
      <c r="K1998" s="4">
        <f>AdminY1*(1+AdminGrowth)^1996</f>
        <v>6.4794339056795004E+54</v>
      </c>
      <c r="L1998" s="4">
        <f t="shared" si="126"/>
        <v>2.3282438568455612E+71</v>
      </c>
      <c r="M1998" s="4">
        <f t="shared" si="127"/>
        <v>3.1250778393464919E+87</v>
      </c>
    </row>
    <row r="1999" spans="1:13" x14ac:dyDescent="0.2">
      <c r="A1999" s="3">
        <f>StartYear+1997</f>
        <v>4022</v>
      </c>
      <c r="B1999" s="4">
        <f>FacultyFTE*HoursPerWeek*WeeksPerYear*RatePerHour*(1+PracticeGrowth)^1997</f>
        <v>5.9487090804770319E+47</v>
      </c>
      <c r="C1999" s="4">
        <f>StudentsY1*(1+StudentGrowth)^1997*CreditsPerStudent*TuitionPerCredit</f>
        <v>3.7179431752981446E+48</v>
      </c>
      <c r="D1999" s="4">
        <f>SimRevY1*(1+SimGrowth)^1997</f>
        <v>2.2917237488540942E+87</v>
      </c>
      <c r="E1999" s="4">
        <f>FacDevRevY1*(1+FacDevGrowth)^1997</f>
        <v>1.1458618744270471E+87</v>
      </c>
      <c r="F1999" s="4">
        <f t="shared" si="124"/>
        <v>3.4375856232811414E+87</v>
      </c>
      <c r="G1999" s="4">
        <f t="shared" si="125"/>
        <v>3.4375856232811414E+87</v>
      </c>
      <c r="H1999" s="4">
        <f>SalaryFTECount*SalaryPerFTE*(1+SalaryGrowth)^1997</f>
        <v>2.1766964772228841E+39</v>
      </c>
      <c r="I1999" s="4">
        <f>SimOpsY1*(1+SimOpsGrowth)^1997</f>
        <v>1.6763355769288033E+71</v>
      </c>
      <c r="J1999" s="4">
        <f>TrainDevY1*(1+TrainDevGrowth)^1997</f>
        <v>8.3816778846440167E+70</v>
      </c>
      <c r="K1999" s="4">
        <f>AdminY1*(1+AdminGrowth)^1997</f>
        <v>6.8681999400202716E+54</v>
      </c>
      <c r="L1999" s="4">
        <f t="shared" si="126"/>
        <v>2.5145033653932049E+71</v>
      </c>
      <c r="M1999" s="4">
        <f t="shared" si="127"/>
        <v>3.4375856232811409E+87</v>
      </c>
    </row>
    <row r="2000" spans="1:13" x14ac:dyDescent="0.2">
      <c r="A2000" s="3">
        <f>StartYear+1998</f>
        <v>4023</v>
      </c>
      <c r="B2000" s="4">
        <f>FacultyFTE*HoursPerWeek*WeeksPerYear*RatePerHour*(1+PracticeGrowth)^1998</f>
        <v>6.2461445345008801E+47</v>
      </c>
      <c r="C2000" s="4">
        <f>StudentsY1*(1+StudentGrowth)^1998*CreditsPerStudent*TuitionPerCredit</f>
        <v>3.9038403340630503E+48</v>
      </c>
      <c r="D2000" s="4">
        <f>SimRevY1*(1+SimGrowth)^1998</f>
        <v>2.5208961237395038E+87</v>
      </c>
      <c r="E2000" s="4">
        <f>FacDevRevY1*(1+FacDevGrowth)^1998</f>
        <v>1.2604480618697519E+87</v>
      </c>
      <c r="F2000" s="4">
        <f t="shared" si="124"/>
        <v>3.7813441856092555E+87</v>
      </c>
      <c r="G2000" s="4">
        <f t="shared" si="125"/>
        <v>3.7813441856092555E+87</v>
      </c>
      <c r="H2000" s="4">
        <f>SalaryFTECount*SalaryPerFTE*(1+SalaryGrowth)^1998</f>
        <v>2.2637643363117995E+39</v>
      </c>
      <c r="I2000" s="4">
        <f>SimOpsY1*(1+SimOpsGrowth)^1998</f>
        <v>1.8104424230831083E+71</v>
      </c>
      <c r="J2000" s="4">
        <f>TrainDevY1*(1+TrainDevGrowth)^1998</f>
        <v>9.0522121154155414E+70</v>
      </c>
      <c r="K2000" s="4">
        <f>AdminY1*(1+AdminGrowth)^1998</f>
        <v>7.2802919364214871E+54</v>
      </c>
      <c r="L2000" s="4">
        <f t="shared" si="126"/>
        <v>2.7156636346246622E+71</v>
      </c>
      <c r="M2000" s="4">
        <f t="shared" si="127"/>
        <v>3.7813441856092551E+87</v>
      </c>
    </row>
    <row r="2001" spans="1:13" x14ac:dyDescent="0.2">
      <c r="A2001" s="3">
        <f>StartYear+1999</f>
        <v>4024</v>
      </c>
      <c r="B2001" s="4">
        <f>FacultyFTE*HoursPerWeek*WeeksPerYear*RatePerHour*(1+PracticeGrowth)^1999</f>
        <v>6.5584517612259263E+47</v>
      </c>
      <c r="C2001" s="4">
        <f>StudentsY1*(1+StudentGrowth)^1999*CreditsPerStudent*TuitionPerCredit</f>
        <v>4.0990323507662042E+48</v>
      </c>
      <c r="D2001" s="4">
        <f>SimRevY1*(1+SimGrowth)^1999</f>
        <v>2.7729857361134544E+87</v>
      </c>
      <c r="E2001" s="4">
        <f>FacDevRevY1*(1+FacDevGrowth)^1999</f>
        <v>1.3864928680567272E+87</v>
      </c>
      <c r="F2001" s="4">
        <f t="shared" si="124"/>
        <v>4.1594786041701814E+87</v>
      </c>
      <c r="G2001" s="4">
        <f t="shared" si="125"/>
        <v>4.1594786041701814E+87</v>
      </c>
      <c r="H2001" s="4">
        <f>SalaryFTECount*SalaryPerFTE*(1+SalaryGrowth)^1999</f>
        <v>2.3543149097642713E+39</v>
      </c>
      <c r="I2001" s="4">
        <f>SimOpsY1*(1+SimOpsGrowth)^1999</f>
        <v>1.9552778169297574E+71</v>
      </c>
      <c r="J2001" s="4">
        <f>TrainDevY1*(1+TrainDevGrowth)^1999</f>
        <v>9.7763890846487871E+70</v>
      </c>
      <c r="K2001" s="4">
        <f>AdminY1*(1+AdminGrowth)^1999</f>
        <v>7.7171094526067802E+54</v>
      </c>
      <c r="L2001" s="4">
        <f t="shared" si="126"/>
        <v>2.9329167253946364E+71</v>
      </c>
      <c r="M2001" s="4">
        <f t="shared" si="127"/>
        <v>4.1594786041701814E+87</v>
      </c>
    </row>
    <row r="2002" spans="1:13" x14ac:dyDescent="0.2">
      <c r="A2002" s="3">
        <f>StartYear+2000</f>
        <v>4025</v>
      </c>
      <c r="B2002" s="4">
        <f>FacultyFTE*HoursPerWeek*WeeksPerYear*RatePerHour*(1+PracticeGrowth)^2000</f>
        <v>6.886374349287225E+47</v>
      </c>
      <c r="C2002" s="4">
        <f>StudentsY1*(1+StudentGrowth)^2000*CreditsPerStudent*TuitionPerCredit</f>
        <v>4.3039839683045154E+48</v>
      </c>
      <c r="D2002" s="4">
        <f>SimRevY1*(1+SimGrowth)^2000</f>
        <v>3.0502843097247997E+87</v>
      </c>
      <c r="E2002" s="4">
        <f>FacDevRevY1*(1+FacDevGrowth)^2000</f>
        <v>1.5251421548623998E+87</v>
      </c>
      <c r="F2002" s="4">
        <f t="shared" si="124"/>
        <v>4.5754264645871991E+87</v>
      </c>
      <c r="G2002" s="4">
        <f t="shared" si="125"/>
        <v>4.5754264645871991E+87</v>
      </c>
      <c r="H2002" s="4">
        <f>SalaryFTECount*SalaryPerFTE*(1+SalaryGrowth)^2000</f>
        <v>2.4484875061548425E+39</v>
      </c>
      <c r="I2002" s="4">
        <f>SimOpsY1*(1+SimOpsGrowth)^2000</f>
        <v>2.1117000422841377E+71</v>
      </c>
      <c r="J2002" s="4">
        <f>TrainDevY1*(1+TrainDevGrowth)^2000</f>
        <v>1.0558500211420688E+71</v>
      </c>
      <c r="K2002" s="4">
        <f>AdminY1*(1+AdminGrowth)^2000</f>
        <v>8.1801360197631837E+54</v>
      </c>
      <c r="L2002" s="4">
        <f t="shared" si="126"/>
        <v>3.1675500634262065E+71</v>
      </c>
      <c r="M2002" s="4">
        <f t="shared" si="127"/>
        <v>4.5754264645871991E+87</v>
      </c>
    </row>
    <row r="2003" spans="1:13" x14ac:dyDescent="0.2">
      <c r="A2003" s="3">
        <f>StartYear+2001</f>
        <v>4026</v>
      </c>
      <c r="B2003" s="4">
        <f>FacultyFTE*HoursPerWeek*WeeksPerYear*RatePerHour*(1+PracticeGrowth)^2001</f>
        <v>7.2306930667515856E+47</v>
      </c>
      <c r="C2003" s="4">
        <f>StudentsY1*(1+StudentGrowth)^2001*CreditsPerStudent*TuitionPerCredit</f>
        <v>4.5191831667197406E+48</v>
      </c>
      <c r="D2003" s="4">
        <f>SimRevY1*(1+SimGrowth)^2001</f>
        <v>3.35531274069728E+87</v>
      </c>
      <c r="E2003" s="4">
        <f>FacDevRevY1*(1+FacDevGrowth)^2001</f>
        <v>1.67765637034864E+87</v>
      </c>
      <c r="F2003" s="4">
        <f t="shared" si="124"/>
        <v>5.0329691110459202E+87</v>
      </c>
      <c r="G2003" s="4">
        <f t="shared" si="125"/>
        <v>5.0329691110459202E+87</v>
      </c>
      <c r="H2003" s="4">
        <f>SalaryFTECount*SalaryPerFTE*(1+SalaryGrowth)^2001</f>
        <v>2.546427006401036E+39</v>
      </c>
      <c r="I2003" s="4">
        <f>SimOpsY1*(1+SimOpsGrowth)^2001</f>
        <v>2.2806360456668682E+71</v>
      </c>
      <c r="J2003" s="4">
        <f>TrainDevY1*(1+TrainDevGrowth)^2001</f>
        <v>1.1403180228334341E+71</v>
      </c>
      <c r="K2003" s="4">
        <f>AdminY1*(1+AdminGrowth)^2001</f>
        <v>8.670944180948978E+54</v>
      </c>
      <c r="L2003" s="4">
        <f t="shared" si="126"/>
        <v>3.4209540685003021E+71</v>
      </c>
      <c r="M2003" s="4">
        <f t="shared" si="127"/>
        <v>5.0329691110459202E+87</v>
      </c>
    </row>
    <row r="2004" spans="1:13" x14ac:dyDescent="0.2">
      <c r="A2004" s="3">
        <f>StartYear+2002</f>
        <v>4027</v>
      </c>
      <c r="B2004" s="4">
        <f>FacultyFTE*HoursPerWeek*WeeksPerYear*RatePerHour*(1+PracticeGrowth)^2002</f>
        <v>7.5922277200891635E+47</v>
      </c>
      <c r="C2004" s="4">
        <f>StudentsY1*(1+StudentGrowth)^2002*CreditsPerStudent*TuitionPerCredit</f>
        <v>4.7451423250557275E+48</v>
      </c>
      <c r="D2004" s="4">
        <f>SimRevY1*(1+SimGrowth)^2002</f>
        <v>3.690844014767008E+87</v>
      </c>
      <c r="E2004" s="4">
        <f>FacDevRevY1*(1+FacDevGrowth)^2002</f>
        <v>1.845422007383504E+87</v>
      </c>
      <c r="F2004" s="4">
        <f t="shared" si="124"/>
        <v>5.536266022150512E+87</v>
      </c>
      <c r="G2004" s="4">
        <f t="shared" si="125"/>
        <v>5.536266022150512E+87</v>
      </c>
      <c r="H2004" s="4">
        <f>SalaryFTECount*SalaryPerFTE*(1+SalaryGrowth)^2002</f>
        <v>2.6482840866570778E+39</v>
      </c>
      <c r="I2004" s="4">
        <f>SimOpsY1*(1+SimOpsGrowth)^2002</f>
        <v>2.4630869293202189E+71</v>
      </c>
      <c r="J2004" s="4">
        <f>TrainDevY1*(1+TrainDevGrowth)^2002</f>
        <v>1.2315434646601095E+71</v>
      </c>
      <c r="K2004" s="4">
        <f>AdminY1*(1+AdminGrowth)^2002</f>
        <v>9.1912008318059138E+54</v>
      </c>
      <c r="L2004" s="4">
        <f t="shared" si="126"/>
        <v>3.6946303939803284E+71</v>
      </c>
      <c r="M2004" s="4">
        <f t="shared" si="127"/>
        <v>5.536266022150512E+87</v>
      </c>
    </row>
    <row r="2005" spans="1:13" x14ac:dyDescent="0.2">
      <c r="A2005" s="3">
        <f>StartYear+2003</f>
        <v>4028</v>
      </c>
      <c r="B2005" s="4">
        <f>FacultyFTE*HoursPerWeek*WeeksPerYear*RatePerHour*(1+PracticeGrowth)^2003</f>
        <v>7.9718391060936235E+47</v>
      </c>
      <c r="C2005" s="4">
        <f>StudentsY1*(1+StudentGrowth)^2003*CreditsPerStudent*TuitionPerCredit</f>
        <v>4.9823994413085146E+48</v>
      </c>
      <c r="D2005" s="4">
        <f>SimRevY1*(1+SimGrowth)^2003</f>
        <v>4.0599284162437108E+87</v>
      </c>
      <c r="E2005" s="4">
        <f>FacDevRevY1*(1+FacDevGrowth)^2003</f>
        <v>2.0299642081218554E+87</v>
      </c>
      <c r="F2005" s="4">
        <f t="shared" si="124"/>
        <v>6.0898926243655662E+87</v>
      </c>
      <c r="G2005" s="4">
        <f t="shared" si="125"/>
        <v>6.0898926243655662E+87</v>
      </c>
      <c r="H2005" s="4">
        <f>SalaryFTECount*SalaryPerFTE*(1+SalaryGrowth)^2003</f>
        <v>2.7542154501233615E+39</v>
      </c>
      <c r="I2005" s="4">
        <f>SimOpsY1*(1+SimOpsGrowth)^2003</f>
        <v>2.660133883665837E+71</v>
      </c>
      <c r="J2005" s="4">
        <f>TrainDevY1*(1+TrainDevGrowth)^2003</f>
        <v>1.3300669418329185E+71</v>
      </c>
      <c r="K2005" s="4">
        <f>AdminY1*(1+AdminGrowth)^2003</f>
        <v>9.7426728817142699E+54</v>
      </c>
      <c r="L2005" s="4">
        <f t="shared" si="126"/>
        <v>3.9902008254987558E+71</v>
      </c>
      <c r="M2005" s="4">
        <f t="shared" si="127"/>
        <v>6.0898926243655662E+87</v>
      </c>
    </row>
    <row r="2006" spans="1:13" x14ac:dyDescent="0.2">
      <c r="A2006" s="3">
        <f>StartYear+2004</f>
        <v>4029</v>
      </c>
      <c r="B2006" s="4">
        <f>FacultyFTE*HoursPerWeek*WeeksPerYear*RatePerHour*(1+PracticeGrowth)^2004</f>
        <v>8.3704310613983029E+47</v>
      </c>
      <c r="C2006" s="4">
        <f>StudentsY1*(1+StudentGrowth)^2004*CreditsPerStudent*TuitionPerCredit</f>
        <v>5.231519413373939E+48</v>
      </c>
      <c r="D2006" s="4">
        <f>SimRevY1*(1+SimGrowth)^2004</f>
        <v>4.4659212578680801E+87</v>
      </c>
      <c r="E2006" s="4">
        <f>FacDevRevY1*(1+FacDevGrowth)^2004</f>
        <v>2.23296062893404E+87</v>
      </c>
      <c r="F2006" s="4">
        <f t="shared" si="124"/>
        <v>6.6988818868021197E+87</v>
      </c>
      <c r="G2006" s="4">
        <f t="shared" si="125"/>
        <v>6.6988818868021197E+87</v>
      </c>
      <c r="H2006" s="4">
        <f>SalaryFTECount*SalaryPerFTE*(1+SalaryGrowth)^2004</f>
        <v>2.8643840681282963E+39</v>
      </c>
      <c r="I2006" s="4">
        <f>SimOpsY1*(1+SimOpsGrowth)^2004</f>
        <v>2.8729445943591031E+71</v>
      </c>
      <c r="J2006" s="4">
        <f>TrainDevY1*(1+TrainDevGrowth)^2004</f>
        <v>1.4364722971795515E+71</v>
      </c>
      <c r="K2006" s="4">
        <f>AdminY1*(1+AdminGrowth)^2004</f>
        <v>1.0327233254617124E+55</v>
      </c>
      <c r="L2006" s="4">
        <f t="shared" si="126"/>
        <v>4.3094168915386549E+71</v>
      </c>
      <c r="M2006" s="4">
        <f t="shared" si="127"/>
        <v>6.6988818868021197E+87</v>
      </c>
    </row>
    <row r="2007" spans="1:13" x14ac:dyDescent="0.2">
      <c r="A2007" s="3">
        <f>StartYear+2005</f>
        <v>4030</v>
      </c>
      <c r="B2007" s="4">
        <f>FacultyFTE*HoursPerWeek*WeeksPerYear*RatePerHour*(1+PracticeGrowth)^2005</f>
        <v>8.788952614468219E+47</v>
      </c>
      <c r="C2007" s="4">
        <f>StudentsY1*(1+StudentGrowth)^2005*CreditsPerStudent*TuitionPerCredit</f>
        <v>5.4930953840426368E+48</v>
      </c>
      <c r="D2007" s="4">
        <f>SimRevY1*(1+SimGrowth)^2005</f>
        <v>4.9125133836548898E+87</v>
      </c>
      <c r="E2007" s="4">
        <f>FacDevRevY1*(1+FacDevGrowth)^2005</f>
        <v>2.4562566918274449E+87</v>
      </c>
      <c r="F2007" s="4">
        <f t="shared" si="124"/>
        <v>7.3687700754823346E+87</v>
      </c>
      <c r="G2007" s="4">
        <f t="shared" si="125"/>
        <v>7.3687700754823346E+87</v>
      </c>
      <c r="H2007" s="4">
        <f>SalaryFTECount*SalaryPerFTE*(1+SalaryGrowth)^2005</f>
        <v>2.9789594308534277E+39</v>
      </c>
      <c r="I2007" s="4">
        <f>SimOpsY1*(1+SimOpsGrowth)^2005</f>
        <v>3.102780161907832E+71</v>
      </c>
      <c r="J2007" s="4">
        <f>TrainDevY1*(1+TrainDevGrowth)^2005</f>
        <v>1.551390080953916E+71</v>
      </c>
      <c r="K2007" s="4">
        <f>AdminY1*(1+AdminGrowth)^2005</f>
        <v>1.0946867249894154E+55</v>
      </c>
      <c r="L2007" s="4">
        <f t="shared" si="126"/>
        <v>4.6541702428617485E+71</v>
      </c>
      <c r="M2007" s="4">
        <f t="shared" si="127"/>
        <v>7.3687700754823338E+87</v>
      </c>
    </row>
    <row r="2008" spans="1:13" x14ac:dyDescent="0.2">
      <c r="A2008" s="3">
        <f>StartYear+2006</f>
        <v>4031</v>
      </c>
      <c r="B2008" s="4">
        <f>FacultyFTE*HoursPerWeek*WeeksPerYear*RatePerHour*(1+PracticeGrowth)^2006</f>
        <v>9.2284002451916263E+47</v>
      </c>
      <c r="C2008" s="4">
        <f>StudentsY1*(1+StudentGrowth)^2006*CreditsPerStudent*TuitionPerCredit</f>
        <v>5.7677501532447669E+48</v>
      </c>
      <c r="D2008" s="4">
        <f>SimRevY1*(1+SimGrowth)^2006</f>
        <v>5.40376472202038E+87</v>
      </c>
      <c r="E2008" s="4">
        <f>FacDevRevY1*(1+FacDevGrowth)^2006</f>
        <v>2.70188236101019E+87</v>
      </c>
      <c r="F2008" s="4">
        <f t="shared" si="124"/>
        <v>8.1056470830305704E+87</v>
      </c>
      <c r="G2008" s="4">
        <f t="shared" si="125"/>
        <v>8.1056470830305704E+87</v>
      </c>
      <c r="H2008" s="4">
        <f>SalaryFTECount*SalaryPerFTE*(1+SalaryGrowth)^2006</f>
        <v>3.0981178080875657E+39</v>
      </c>
      <c r="I2008" s="4">
        <f>SimOpsY1*(1+SimOpsGrowth)^2006</f>
        <v>3.3510025748604586E+71</v>
      </c>
      <c r="J2008" s="4">
        <f>TrainDevY1*(1+TrainDevGrowth)^2006</f>
        <v>1.6755012874302293E+71</v>
      </c>
      <c r="K2008" s="4">
        <f>AdminY1*(1+AdminGrowth)^2006</f>
        <v>1.1603679284887805E+55</v>
      </c>
      <c r="L2008" s="4">
        <f t="shared" si="126"/>
        <v>5.0265038622906881E+71</v>
      </c>
      <c r="M2008" s="4">
        <f t="shared" si="127"/>
        <v>8.1056470830305704E+87</v>
      </c>
    </row>
    <row r="2009" spans="1:13" x14ac:dyDescent="0.2">
      <c r="A2009" s="3">
        <f>StartYear+2007</f>
        <v>4032</v>
      </c>
      <c r="B2009" s="4">
        <f>FacultyFTE*HoursPerWeek*WeeksPerYear*RatePerHour*(1+PracticeGrowth)^2007</f>
        <v>9.6898202574512125E+47</v>
      </c>
      <c r="C2009" s="4">
        <f>StudentsY1*(1+StudentGrowth)^2007*CreditsPerStudent*TuitionPerCredit</f>
        <v>6.0561376609070075E+48</v>
      </c>
      <c r="D2009" s="4">
        <f>SimRevY1*(1+SimGrowth)^2007</f>
        <v>5.9441411942224175E+87</v>
      </c>
      <c r="E2009" s="4">
        <f>FacDevRevY1*(1+FacDevGrowth)^2007</f>
        <v>2.9720705971112088E+87</v>
      </c>
      <c r="F2009" s="4">
        <f t="shared" si="124"/>
        <v>8.9162117913336267E+87</v>
      </c>
      <c r="G2009" s="4">
        <f t="shared" si="125"/>
        <v>8.9162117913336267E+87</v>
      </c>
      <c r="H2009" s="4">
        <f>SalaryFTECount*SalaryPerFTE*(1+SalaryGrowth)^2007</f>
        <v>3.2220425204110669E+39</v>
      </c>
      <c r="I2009" s="4">
        <f>SimOpsY1*(1+SimOpsGrowth)^2007</f>
        <v>3.6190827808492954E+71</v>
      </c>
      <c r="J2009" s="4">
        <f>TrainDevY1*(1+TrainDevGrowth)^2007</f>
        <v>1.8095413904246477E+71</v>
      </c>
      <c r="K2009" s="4">
        <f>AdminY1*(1+AdminGrowth)^2007</f>
        <v>1.2299900041981075E+55</v>
      </c>
      <c r="L2009" s="4">
        <f t="shared" si="126"/>
        <v>5.4286241712739433E+71</v>
      </c>
      <c r="M2009" s="4">
        <f t="shared" si="127"/>
        <v>8.9162117913336267E+87</v>
      </c>
    </row>
    <row r="2010" spans="1:13" x14ac:dyDescent="0.2">
      <c r="A2010" s="3">
        <f>StartYear+2008</f>
        <v>4033</v>
      </c>
      <c r="B2010" s="4">
        <f>FacultyFTE*HoursPerWeek*WeeksPerYear*RatePerHour*(1+PracticeGrowth)^2008</f>
        <v>1.017431127032377E+48</v>
      </c>
      <c r="C2010" s="4">
        <f>StudentsY1*(1+StudentGrowth)^2008*CreditsPerStudent*TuitionPerCredit</f>
        <v>6.3589445439523558E+48</v>
      </c>
      <c r="D2010" s="4">
        <f>SimRevY1*(1+SimGrowth)^2008</f>
        <v>6.5385553136446587E+87</v>
      </c>
      <c r="E2010" s="4">
        <f>FacDevRevY1*(1+FacDevGrowth)^2008</f>
        <v>3.2692776568223293E+87</v>
      </c>
      <c r="F2010" s="4">
        <f t="shared" si="124"/>
        <v>9.807832970466988E+87</v>
      </c>
      <c r="G2010" s="4">
        <f t="shared" si="125"/>
        <v>9.807832970466988E+87</v>
      </c>
      <c r="H2010" s="4">
        <f>SalaryFTECount*SalaryPerFTE*(1+SalaryGrowth)^2008</f>
        <v>3.3509242212275107E+39</v>
      </c>
      <c r="I2010" s="4">
        <f>SimOpsY1*(1+SimOpsGrowth)^2008</f>
        <v>3.9086094033172391E+71</v>
      </c>
      <c r="J2010" s="4">
        <f>TrainDevY1*(1+TrainDevGrowth)^2008</f>
        <v>1.9543047016586195E+71</v>
      </c>
      <c r="K2010" s="4">
        <f>AdminY1*(1+AdminGrowth)^2008</f>
        <v>1.3037894044499935E+55</v>
      </c>
      <c r="L2010" s="4">
        <f t="shared" si="126"/>
        <v>5.8629141049758586E+71</v>
      </c>
      <c r="M2010" s="4">
        <f t="shared" si="127"/>
        <v>9.807832970466988E+87</v>
      </c>
    </row>
    <row r="2011" spans="1:13" x14ac:dyDescent="0.2">
      <c r="A2011" s="3">
        <f>StartYear+2009</f>
        <v>4034</v>
      </c>
      <c r="B2011" s="4">
        <f>FacultyFTE*HoursPerWeek*WeeksPerYear*RatePerHour*(1+PracticeGrowth)^2009</f>
        <v>1.0683026833839959E+48</v>
      </c>
      <c r="C2011" s="4">
        <f>StudentsY1*(1+StudentGrowth)^2009*CreditsPerStudent*TuitionPerCredit</f>
        <v>6.6768917711499742E+48</v>
      </c>
      <c r="D2011" s="4">
        <f>SimRevY1*(1+SimGrowth)^2009</f>
        <v>7.1924108450091249E+87</v>
      </c>
      <c r="E2011" s="4">
        <f>FacDevRevY1*(1+FacDevGrowth)^2009</f>
        <v>3.5962054225045624E+87</v>
      </c>
      <c r="F2011" s="4">
        <f t="shared" si="124"/>
        <v>1.0788616267513687E+88</v>
      </c>
      <c r="G2011" s="4">
        <f t="shared" si="125"/>
        <v>1.0788616267513687E+88</v>
      </c>
      <c r="H2011" s="4">
        <f>SalaryFTECount*SalaryPerFTE*(1+SalaryGrowth)^2009</f>
        <v>3.4849611900766123E+39</v>
      </c>
      <c r="I2011" s="4">
        <f>SimOpsY1*(1+SimOpsGrowth)^2009</f>
        <v>4.2212981555826184E+71</v>
      </c>
      <c r="J2011" s="4">
        <f>TrainDevY1*(1+TrainDevGrowth)^2009</f>
        <v>2.1106490777913092E+71</v>
      </c>
      <c r="K2011" s="4">
        <f>AdminY1*(1+AdminGrowth)^2009</f>
        <v>1.3820167687169937E+55</v>
      </c>
      <c r="L2011" s="4">
        <f t="shared" si="126"/>
        <v>6.3319472333739276E+71</v>
      </c>
      <c r="M2011" s="4">
        <f t="shared" si="127"/>
        <v>1.0788616267513687E+88</v>
      </c>
    </row>
    <row r="2012" spans="1:13" x14ac:dyDescent="0.2">
      <c r="A2012" s="3">
        <f>StartYear+2010</f>
        <v>4035</v>
      </c>
      <c r="B2012" s="4">
        <f>FacultyFTE*HoursPerWeek*WeeksPerYear*RatePerHour*(1+PracticeGrowth)^2010</f>
        <v>1.1217178175531957E+48</v>
      </c>
      <c r="C2012" s="4">
        <f>StudentsY1*(1+StudentGrowth)^2010*CreditsPerStudent*TuitionPerCredit</f>
        <v>7.0107363597074739E+48</v>
      </c>
      <c r="D2012" s="4">
        <f>SimRevY1*(1+SimGrowth)^2010</f>
        <v>7.9116519295100395E+87</v>
      </c>
      <c r="E2012" s="4">
        <f>FacDevRevY1*(1+FacDevGrowth)^2010</f>
        <v>3.9558259647550198E+87</v>
      </c>
      <c r="F2012" s="4">
        <f t="shared" si="124"/>
        <v>1.186747789426506E+88</v>
      </c>
      <c r="G2012" s="4">
        <f t="shared" si="125"/>
        <v>1.186747789426506E+88</v>
      </c>
      <c r="H2012" s="4">
        <f>SalaryFTECount*SalaryPerFTE*(1+SalaryGrowth)^2010</f>
        <v>3.6243596376796756E+39</v>
      </c>
      <c r="I2012" s="4">
        <f>SimOpsY1*(1+SimOpsGrowth)^2010</f>
        <v>4.559002008029228E+71</v>
      </c>
      <c r="J2012" s="4">
        <f>TrainDevY1*(1+TrainDevGrowth)^2010</f>
        <v>2.279501004014614E+71</v>
      </c>
      <c r="K2012" s="4">
        <f>AdminY1*(1+AdminGrowth)^2010</f>
        <v>1.4649377748400129E+55</v>
      </c>
      <c r="L2012" s="4">
        <f t="shared" si="126"/>
        <v>6.8385030120438424E+71</v>
      </c>
      <c r="M2012" s="4">
        <f t="shared" si="127"/>
        <v>1.186747789426506E+88</v>
      </c>
    </row>
    <row r="2013" spans="1:13" x14ac:dyDescent="0.2">
      <c r="A2013" s="3">
        <f>StartYear+2011</f>
        <v>4036</v>
      </c>
      <c r="B2013" s="4">
        <f>FacultyFTE*HoursPerWeek*WeeksPerYear*RatePerHour*(1+PracticeGrowth)^2011</f>
        <v>1.1778037084308561E+48</v>
      </c>
      <c r="C2013" s="4">
        <f>StudentsY1*(1+StudentGrowth)^2011*CreditsPerStudent*TuitionPerCredit</f>
        <v>7.3612731776928492E+48</v>
      </c>
      <c r="D2013" s="4">
        <f>SimRevY1*(1+SimGrowth)^2011</f>
        <v>8.7028171224610433E+87</v>
      </c>
      <c r="E2013" s="4">
        <f>FacDevRevY1*(1+FacDevGrowth)^2011</f>
        <v>4.3514085612305216E+87</v>
      </c>
      <c r="F2013" s="4">
        <f t="shared" si="124"/>
        <v>1.3054225683691564E+88</v>
      </c>
      <c r="G2013" s="4">
        <f t="shared" si="125"/>
        <v>1.3054225683691564E+88</v>
      </c>
      <c r="H2013" s="4">
        <f>SalaryFTECount*SalaryPerFTE*(1+SalaryGrowth)^2011</f>
        <v>3.7693340231868629E+39</v>
      </c>
      <c r="I2013" s="4">
        <f>SimOpsY1*(1+SimOpsGrowth)^2011</f>
        <v>4.9237221686715651E+71</v>
      </c>
      <c r="J2013" s="4">
        <f>TrainDevY1*(1+TrainDevGrowth)^2011</f>
        <v>2.4618610843357826E+71</v>
      </c>
      <c r="K2013" s="4">
        <f>AdminY1*(1+AdminGrowth)^2011</f>
        <v>1.5528340413304143E+55</v>
      </c>
      <c r="L2013" s="4">
        <f t="shared" si="126"/>
        <v>7.3855832530073477E+71</v>
      </c>
      <c r="M2013" s="4">
        <f t="shared" si="127"/>
        <v>1.3054225683691564E+88</v>
      </c>
    </row>
    <row r="2014" spans="1:13" x14ac:dyDescent="0.2">
      <c r="A2014" s="3">
        <f>StartYear+2012</f>
        <v>4037</v>
      </c>
      <c r="B2014" s="4">
        <f>FacultyFTE*HoursPerWeek*WeeksPerYear*RatePerHour*(1+PracticeGrowth)^2012</f>
        <v>1.2366938938523984E+48</v>
      </c>
      <c r="C2014" s="4">
        <f>StudentsY1*(1+StudentGrowth)^2012*CreditsPerStudent*TuitionPerCredit</f>
        <v>7.7293368365774893E+48</v>
      </c>
      <c r="D2014" s="4">
        <f>SimRevY1*(1+SimGrowth)^2012</f>
        <v>9.5730988347071485E+87</v>
      </c>
      <c r="E2014" s="4">
        <f>FacDevRevY1*(1+FacDevGrowth)^2012</f>
        <v>4.7865494173535742E+87</v>
      </c>
      <c r="F2014" s="4">
        <f t="shared" si="124"/>
        <v>1.4359648252060724E+88</v>
      </c>
      <c r="G2014" s="4">
        <f t="shared" si="125"/>
        <v>1.4359648252060724E+88</v>
      </c>
      <c r="H2014" s="4">
        <f>SalaryFTECount*SalaryPerFTE*(1+SalaryGrowth)^2012</f>
        <v>3.9201073841143385E+39</v>
      </c>
      <c r="I2014" s="4">
        <f>SimOpsY1*(1+SimOpsGrowth)^2012</f>
        <v>5.317619942165292E+71</v>
      </c>
      <c r="J2014" s="4">
        <f>TrainDevY1*(1+TrainDevGrowth)^2012</f>
        <v>2.658809971082646E+71</v>
      </c>
      <c r="K2014" s="4">
        <f>AdminY1*(1+AdminGrowth)^2012</f>
        <v>1.6460040838102396E+55</v>
      </c>
      <c r="L2014" s="4">
        <f t="shared" si="126"/>
        <v>7.9764299132479384E+71</v>
      </c>
      <c r="M2014" s="4">
        <f t="shared" si="127"/>
        <v>1.4359648252060724E+88</v>
      </c>
    </row>
    <row r="2015" spans="1:13" x14ac:dyDescent="0.2">
      <c r="A2015" s="3">
        <f>StartYear+2013</f>
        <v>4038</v>
      </c>
      <c r="B2015" s="4">
        <f>FacultyFTE*HoursPerWeek*WeeksPerYear*RatePerHour*(1+PracticeGrowth)^2013</f>
        <v>1.2985285885450187E+48</v>
      </c>
      <c r="C2015" s="4">
        <f>StudentsY1*(1+StudentGrowth)^2013*CreditsPerStudent*TuitionPerCredit</f>
        <v>8.1158036784063664E+48</v>
      </c>
      <c r="D2015" s="4">
        <f>SimRevY1*(1+SimGrowth)^2013</f>
        <v>1.0530408718177862E+88</v>
      </c>
      <c r="E2015" s="4">
        <f>FacDevRevY1*(1+FacDevGrowth)^2013</f>
        <v>5.2652043590889309E+87</v>
      </c>
      <c r="F2015" s="4">
        <f t="shared" si="124"/>
        <v>1.5795613077266793E+88</v>
      </c>
      <c r="G2015" s="4">
        <f t="shared" si="125"/>
        <v>1.5795613077266793E+88</v>
      </c>
      <c r="H2015" s="4">
        <f>SalaryFTECount*SalaryPerFTE*(1+SalaryGrowth)^2013</f>
        <v>4.0769116794789117E+39</v>
      </c>
      <c r="I2015" s="4">
        <f>SimOpsY1*(1+SimOpsGrowth)^2013</f>
        <v>5.7430295375385159E+71</v>
      </c>
      <c r="J2015" s="4">
        <f>TrainDevY1*(1+TrainDevGrowth)^2013</f>
        <v>2.8715147687692579E+71</v>
      </c>
      <c r="K2015" s="4">
        <f>AdminY1*(1+AdminGrowth)^2013</f>
        <v>1.7447643288388533E+55</v>
      </c>
      <c r="L2015" s="4">
        <f t="shared" si="126"/>
        <v>8.6145443063077743E+71</v>
      </c>
      <c r="M2015" s="4">
        <f t="shared" si="127"/>
        <v>1.5795613077266793E+88</v>
      </c>
    </row>
    <row r="2016" spans="1:13" x14ac:dyDescent="0.2">
      <c r="A2016" s="3">
        <f>StartYear+2014</f>
        <v>4039</v>
      </c>
      <c r="B2016" s="4">
        <f>FacultyFTE*HoursPerWeek*WeeksPerYear*RatePerHour*(1+PracticeGrowth)^2014</f>
        <v>1.3634550179722688E+48</v>
      </c>
      <c r="C2016" s="4">
        <f>StudentsY1*(1+StudentGrowth)^2014*CreditsPerStudent*TuitionPerCredit</f>
        <v>8.5215938623266796E+48</v>
      </c>
      <c r="D2016" s="4">
        <f>SimRevY1*(1+SimGrowth)^2014</f>
        <v>1.1583449589995652E+88</v>
      </c>
      <c r="E2016" s="4">
        <f>FacDevRevY1*(1+FacDevGrowth)^2014</f>
        <v>5.7917247949978262E+87</v>
      </c>
      <c r="F2016" s="4">
        <f t="shared" si="124"/>
        <v>1.7375174384993479E+88</v>
      </c>
      <c r="G2016" s="4">
        <f t="shared" si="125"/>
        <v>1.7375174384993479E+88</v>
      </c>
      <c r="H2016" s="4">
        <f>SalaryFTECount*SalaryPerFTE*(1+SalaryGrowth)^2014</f>
        <v>4.2399881466580677E+39</v>
      </c>
      <c r="I2016" s="4">
        <f>SimOpsY1*(1+SimOpsGrowth)^2014</f>
        <v>6.2024719005415974E+71</v>
      </c>
      <c r="J2016" s="4">
        <f>TrainDevY1*(1+TrainDevGrowth)^2014</f>
        <v>3.1012359502707987E+71</v>
      </c>
      <c r="K2016" s="4">
        <f>AdminY1*(1+AdminGrowth)^2014</f>
        <v>1.8494501885691852E+55</v>
      </c>
      <c r="L2016" s="4">
        <f t="shared" si="126"/>
        <v>9.3037078508123951E+71</v>
      </c>
      <c r="M2016" s="4">
        <f t="shared" si="127"/>
        <v>1.7375174384993479E+88</v>
      </c>
    </row>
    <row r="2017" spans="1:13" x14ac:dyDescent="0.2">
      <c r="A2017" s="3">
        <f>StartYear+2015</f>
        <v>4040</v>
      </c>
      <c r="B2017" s="4">
        <f>FacultyFTE*HoursPerWeek*WeeksPerYear*RatePerHour*(1+PracticeGrowth)^2015</f>
        <v>1.4316277688708833E+48</v>
      </c>
      <c r="C2017" s="4">
        <f>StudentsY1*(1+StudentGrowth)^2015*CreditsPerStudent*TuitionPerCredit</f>
        <v>8.9476735554430206E+48</v>
      </c>
      <c r="D2017" s="4">
        <f>SimRevY1*(1+SimGrowth)^2015</f>
        <v>1.2741794548995214E+88</v>
      </c>
      <c r="E2017" s="4">
        <f>FacDevRevY1*(1+FacDevGrowth)^2015</f>
        <v>6.3708972744976072E+87</v>
      </c>
      <c r="F2017" s="4">
        <f t="shared" si="124"/>
        <v>1.9112691823492821E+88</v>
      </c>
      <c r="G2017" s="4">
        <f t="shared" si="125"/>
        <v>1.9112691823492821E+88</v>
      </c>
      <c r="H2017" s="4">
        <f>SalaryFTECount*SalaryPerFTE*(1+SalaryGrowth)^2015</f>
        <v>4.4095876725243906E+39</v>
      </c>
      <c r="I2017" s="4">
        <f>SimOpsY1*(1+SimOpsGrowth)^2015</f>
        <v>6.6986696525849259E+71</v>
      </c>
      <c r="J2017" s="4">
        <f>TrainDevY1*(1+TrainDevGrowth)^2015</f>
        <v>3.3493348262924629E+71</v>
      </c>
      <c r="K2017" s="4">
        <f>AdminY1*(1+AdminGrowth)^2015</f>
        <v>1.9604171998833366E+55</v>
      </c>
      <c r="L2017" s="4">
        <f t="shared" si="126"/>
        <v>1.0048004478877388E+72</v>
      </c>
      <c r="M2017" s="4">
        <f t="shared" si="127"/>
        <v>1.9112691823492821E+88</v>
      </c>
    </row>
    <row r="2018" spans="1:13" x14ac:dyDescent="0.2">
      <c r="A2018" s="3">
        <f>StartYear+2016</f>
        <v>4041</v>
      </c>
      <c r="B2018" s="4">
        <f>FacultyFTE*HoursPerWeek*WeeksPerYear*RatePerHour*(1+PracticeGrowth)^2016</f>
        <v>1.503209157314427E+48</v>
      </c>
      <c r="C2018" s="4">
        <f>StudentsY1*(1+StudentGrowth)^2016*CreditsPerStudent*TuitionPerCredit</f>
        <v>9.3950572332151685E+48</v>
      </c>
      <c r="D2018" s="4">
        <f>SimRevY1*(1+SimGrowth)^2016</f>
        <v>1.4015974003894739E+88</v>
      </c>
      <c r="E2018" s="4">
        <f>FacDevRevY1*(1+FacDevGrowth)^2016</f>
        <v>7.0079870019473694E+87</v>
      </c>
      <c r="F2018" s="4">
        <f t="shared" si="124"/>
        <v>2.1023961005842109E+88</v>
      </c>
      <c r="G2018" s="4">
        <f t="shared" si="125"/>
        <v>2.1023961005842109E+88</v>
      </c>
      <c r="H2018" s="4">
        <f>SalaryFTECount*SalaryPerFTE*(1+SalaryGrowth)^2016</f>
        <v>4.5859711794253678E+39</v>
      </c>
      <c r="I2018" s="4">
        <f>SimOpsY1*(1+SimOpsGrowth)^2016</f>
        <v>7.2345632247917202E+71</v>
      </c>
      <c r="J2018" s="4">
        <f>TrainDevY1*(1+TrainDevGrowth)^2016</f>
        <v>3.6172816123958601E+71</v>
      </c>
      <c r="K2018" s="4">
        <f>AdminY1*(1+AdminGrowth)^2016</f>
        <v>2.0780422318763364E+55</v>
      </c>
      <c r="L2018" s="4">
        <f t="shared" si="126"/>
        <v>1.085184483718758E+72</v>
      </c>
      <c r="M2018" s="4">
        <f t="shared" si="127"/>
        <v>2.1023961005842109E+88</v>
      </c>
    </row>
    <row r="2019" spans="1:13" x14ac:dyDescent="0.2">
      <c r="A2019" s="3">
        <f>StartYear+2017</f>
        <v>4042</v>
      </c>
      <c r="B2019" s="4">
        <f>FacultyFTE*HoursPerWeek*WeeksPerYear*RatePerHour*(1+PracticeGrowth)^2017</f>
        <v>1.5783696151801485E+48</v>
      </c>
      <c r="C2019" s="4">
        <f>StudentsY1*(1+StudentGrowth)^2017*CreditsPerStudent*TuitionPerCredit</f>
        <v>9.8648100948759299E+48</v>
      </c>
      <c r="D2019" s="4">
        <f>SimRevY1*(1+SimGrowth)^2017</f>
        <v>1.5417571404284214E+88</v>
      </c>
      <c r="E2019" s="4">
        <f>FacDevRevY1*(1+FacDevGrowth)^2017</f>
        <v>7.7087857021421072E+87</v>
      </c>
      <c r="F2019" s="4">
        <f t="shared" si="124"/>
        <v>2.312635710642632E+88</v>
      </c>
      <c r="G2019" s="4">
        <f t="shared" si="125"/>
        <v>2.312635710642632E+88</v>
      </c>
      <c r="H2019" s="4">
        <f>SalaryFTECount*SalaryPerFTE*(1+SalaryGrowth)^2017</f>
        <v>4.7694100266023816E+39</v>
      </c>
      <c r="I2019" s="4">
        <f>SimOpsY1*(1+SimOpsGrowth)^2017</f>
        <v>7.8133282827750565E+71</v>
      </c>
      <c r="J2019" s="4">
        <f>TrainDevY1*(1+TrainDevGrowth)^2017</f>
        <v>3.9066641413875282E+71</v>
      </c>
      <c r="K2019" s="4">
        <f>AdminY1*(1+AdminGrowth)^2017</f>
        <v>2.2027247657889161E+55</v>
      </c>
      <c r="L2019" s="4">
        <f t="shared" si="126"/>
        <v>1.1719992424162585E+72</v>
      </c>
      <c r="M2019" s="4">
        <f t="shared" si="127"/>
        <v>2.312635710642632E+88</v>
      </c>
    </row>
    <row r="2020" spans="1:13" x14ac:dyDescent="0.2">
      <c r="A2020" s="3">
        <f>StartYear+2018</f>
        <v>4043</v>
      </c>
      <c r="B2020" s="4">
        <f>FacultyFTE*HoursPerWeek*WeeksPerYear*RatePerHour*(1+PracticeGrowth)^2018</f>
        <v>1.6572880959391558E+48</v>
      </c>
      <c r="C2020" s="4">
        <f>StudentsY1*(1+StudentGrowth)^2018*CreditsPerStudent*TuitionPerCredit</f>
        <v>1.0358050599619723E+49</v>
      </c>
      <c r="D2020" s="4">
        <f>SimRevY1*(1+SimGrowth)^2018</f>
        <v>1.6959328544712638E+88</v>
      </c>
      <c r="E2020" s="4">
        <f>FacDevRevY1*(1+FacDevGrowth)^2018</f>
        <v>8.4796642723563191E+87</v>
      </c>
      <c r="F2020" s="4">
        <f t="shared" si="124"/>
        <v>2.5438992817068957E+88</v>
      </c>
      <c r="G2020" s="4">
        <f t="shared" si="125"/>
        <v>2.5438992817068957E+88</v>
      </c>
      <c r="H2020" s="4">
        <f>SalaryFTECount*SalaryPerFTE*(1+SalaryGrowth)^2018</f>
        <v>4.9601864276664776E+39</v>
      </c>
      <c r="I2020" s="4">
        <f>SimOpsY1*(1+SimOpsGrowth)^2018</f>
        <v>8.4383945453970625E+71</v>
      </c>
      <c r="J2020" s="4">
        <f>TrainDevY1*(1+TrainDevGrowth)^2018</f>
        <v>4.2191972726985313E+71</v>
      </c>
      <c r="K2020" s="4">
        <f>AdminY1*(1+AdminGrowth)^2018</f>
        <v>2.334888251736251E+55</v>
      </c>
      <c r="L2020" s="4">
        <f t="shared" si="126"/>
        <v>1.2657591818095593E+72</v>
      </c>
      <c r="M2020" s="4">
        <f t="shared" si="127"/>
        <v>2.5438992817068957E+88</v>
      </c>
    </row>
    <row r="2021" spans="1:13" x14ac:dyDescent="0.2">
      <c r="A2021" s="3">
        <f>StartYear+2019</f>
        <v>4044</v>
      </c>
      <c r="B2021" s="4">
        <f>FacultyFTE*HoursPerWeek*WeeksPerYear*RatePerHour*(1+PracticeGrowth)^2019</f>
        <v>1.7401525007361138E+48</v>
      </c>
      <c r="C2021" s="4">
        <f>StudentsY1*(1+StudentGrowth)^2019*CreditsPerStudent*TuitionPerCredit</f>
        <v>1.0875953129600712E+49</v>
      </c>
      <c r="D2021" s="4">
        <f>SimRevY1*(1+SimGrowth)^2019</f>
        <v>1.8655261399183903E+88</v>
      </c>
      <c r="E2021" s="4">
        <f>FacDevRevY1*(1+FacDevGrowth)^2019</f>
        <v>9.3276306995919517E+87</v>
      </c>
      <c r="F2021" s="4">
        <f t="shared" si="124"/>
        <v>2.7982892098775855E+88</v>
      </c>
      <c r="G2021" s="4">
        <f t="shared" si="125"/>
        <v>2.7982892098775855E+88</v>
      </c>
      <c r="H2021" s="4">
        <f>SalaryFTECount*SalaryPerFTE*(1+SalaryGrowth)^2019</f>
        <v>5.1585938847731368E+39</v>
      </c>
      <c r="I2021" s="4">
        <f>SimOpsY1*(1+SimOpsGrowth)^2019</f>
        <v>9.1134661090288296E+71</v>
      </c>
      <c r="J2021" s="4">
        <f>TrainDevY1*(1+TrainDevGrowth)^2019</f>
        <v>4.5567330545144148E+71</v>
      </c>
      <c r="K2021" s="4">
        <f>AdminY1*(1+AdminGrowth)^2019</f>
        <v>2.4749815468404267E+55</v>
      </c>
      <c r="L2021" s="4">
        <f t="shared" si="126"/>
        <v>1.3670199163543243E+72</v>
      </c>
      <c r="M2021" s="4">
        <f t="shared" si="127"/>
        <v>2.7982892098775855E+88</v>
      </c>
    </row>
    <row r="2022" spans="1:13" x14ac:dyDescent="0.2">
      <c r="A2022" s="3">
        <f>StartYear+2020</f>
        <v>4045</v>
      </c>
      <c r="B2022" s="4">
        <f>FacultyFTE*HoursPerWeek*WeeksPerYear*RatePerHour*(1+PracticeGrowth)^2020</f>
        <v>1.8271601257729192E+48</v>
      </c>
      <c r="C2022" s="4">
        <f>StudentsY1*(1+StudentGrowth)^2020*CreditsPerStudent*TuitionPerCredit</f>
        <v>1.1419750786080745E+49</v>
      </c>
      <c r="D2022" s="4">
        <f>SimRevY1*(1+SimGrowth)^2020</f>
        <v>2.0520787539102294E+88</v>
      </c>
      <c r="E2022" s="4">
        <f>FacDevRevY1*(1+FacDevGrowth)^2020</f>
        <v>1.0260393769551147E+88</v>
      </c>
      <c r="F2022" s="4">
        <f t="shared" si="124"/>
        <v>3.0781181308653444E+88</v>
      </c>
      <c r="G2022" s="4">
        <f t="shared" si="125"/>
        <v>3.0781181308653444E+88</v>
      </c>
      <c r="H2022" s="4">
        <f>SalaryFTECount*SalaryPerFTE*(1+SalaryGrowth)^2020</f>
        <v>5.3649376401640625E+39</v>
      </c>
      <c r="I2022" s="4">
        <f>SimOpsY1*(1+SimOpsGrowth)^2020</f>
        <v>9.8425433977511351E+71</v>
      </c>
      <c r="J2022" s="4">
        <f>TrainDevY1*(1+TrainDevGrowth)^2020</f>
        <v>4.9212716988755676E+71</v>
      </c>
      <c r="K2022" s="4">
        <f>AdminY1*(1+AdminGrowth)^2020</f>
        <v>2.6234804396508529E+55</v>
      </c>
      <c r="L2022" s="4">
        <f t="shared" si="126"/>
        <v>1.4763815096626703E+72</v>
      </c>
      <c r="M2022" s="4">
        <f t="shared" si="127"/>
        <v>3.0781181308653444E+88</v>
      </c>
    </row>
    <row r="2023" spans="1:13" x14ac:dyDescent="0.2">
      <c r="A2023" s="3">
        <f>StartYear+2021</f>
        <v>4046</v>
      </c>
      <c r="B2023" s="4">
        <f>FacultyFTE*HoursPerWeek*WeeksPerYear*RatePerHour*(1+PracticeGrowth)^2021</f>
        <v>1.9185181320615648E+48</v>
      </c>
      <c r="C2023" s="4">
        <f>StudentsY1*(1+StudentGrowth)^2021*CreditsPerStudent*TuitionPerCredit</f>
        <v>1.1990738325384779E+49</v>
      </c>
      <c r="D2023" s="4">
        <f>SimRevY1*(1+SimGrowth)^2021</f>
        <v>2.2572866293012525E+88</v>
      </c>
      <c r="E2023" s="4">
        <f>FacDevRevY1*(1+FacDevGrowth)^2021</f>
        <v>1.1286433146506263E+88</v>
      </c>
      <c r="F2023" s="4">
        <f t="shared" si="124"/>
        <v>3.3859299439518789E+88</v>
      </c>
      <c r="G2023" s="4">
        <f t="shared" si="125"/>
        <v>3.3859299439518789E+88</v>
      </c>
      <c r="H2023" s="4">
        <f>SalaryFTECount*SalaryPerFTE*(1+SalaryGrowth)^2021</f>
        <v>5.5795351457706248E+39</v>
      </c>
      <c r="I2023" s="4">
        <f>SimOpsY1*(1+SimOpsGrowth)^2021</f>
        <v>1.0629946869571226E+72</v>
      </c>
      <c r="J2023" s="4">
        <f>TrainDevY1*(1+TrainDevGrowth)^2021</f>
        <v>5.3149734347856131E+71</v>
      </c>
      <c r="K2023" s="4">
        <f>AdminY1*(1+AdminGrowth)^2021</f>
        <v>2.780889266029904E+55</v>
      </c>
      <c r="L2023" s="4">
        <f t="shared" si="126"/>
        <v>1.594492030435684E+72</v>
      </c>
      <c r="M2023" s="4">
        <f t="shared" si="127"/>
        <v>3.3859299439518789E+88</v>
      </c>
    </row>
    <row r="2024" spans="1:13" x14ac:dyDescent="0.2">
      <c r="A2024" s="3">
        <f>StartYear+2022</f>
        <v>4047</v>
      </c>
      <c r="B2024" s="4">
        <f>FacultyFTE*HoursPerWeek*WeeksPerYear*RatePerHour*(1+PracticeGrowth)^2022</f>
        <v>2.0144440386646438E+48</v>
      </c>
      <c r="C2024" s="4">
        <f>StudentsY1*(1+StudentGrowth)^2022*CreditsPerStudent*TuitionPerCredit</f>
        <v>1.2590275241654023E+49</v>
      </c>
      <c r="D2024" s="4">
        <f>SimRevY1*(1+SimGrowth)^2022</f>
        <v>2.4830152922313774E+88</v>
      </c>
      <c r="E2024" s="4">
        <f>FacDevRevY1*(1+FacDevGrowth)^2022</f>
        <v>1.2415076461156887E+88</v>
      </c>
      <c r="F2024" s="4">
        <f t="shared" si="124"/>
        <v>3.724522938347066E+88</v>
      </c>
      <c r="G2024" s="4">
        <f t="shared" si="125"/>
        <v>3.724522938347066E+88</v>
      </c>
      <c r="H2024" s="4">
        <f>SalaryFTECount*SalaryPerFTE*(1+SalaryGrowth)^2022</f>
        <v>5.802716551601449E+39</v>
      </c>
      <c r="I2024" s="4">
        <f>SimOpsY1*(1+SimOpsGrowth)^2022</f>
        <v>1.1480342619136928E+72</v>
      </c>
      <c r="J2024" s="4">
        <f>TrainDevY1*(1+TrainDevGrowth)^2022</f>
        <v>5.7401713095684638E+71</v>
      </c>
      <c r="K2024" s="4">
        <f>AdminY1*(1+AdminGrowth)^2022</f>
        <v>2.9477426219916989E+55</v>
      </c>
      <c r="L2024" s="4">
        <f t="shared" si="126"/>
        <v>1.7220513928705392E+72</v>
      </c>
      <c r="M2024" s="4">
        <f t="shared" si="127"/>
        <v>3.724522938347066E+88</v>
      </c>
    </row>
    <row r="2025" spans="1:13" x14ac:dyDescent="0.2">
      <c r="A2025" s="3">
        <f>StartYear+2023</f>
        <v>4048</v>
      </c>
      <c r="B2025" s="4">
        <f>FacultyFTE*HoursPerWeek*WeeksPerYear*RatePerHour*(1+PracticeGrowth)^2023</f>
        <v>2.1151662405978761E+48</v>
      </c>
      <c r="C2025" s="4">
        <f>StudentsY1*(1+StudentGrowth)^2023*CreditsPerStudent*TuitionPerCredit</f>
        <v>1.3219789003736726E+49</v>
      </c>
      <c r="D2025" s="4">
        <f>SimRevY1*(1+SimGrowth)^2023</f>
        <v>2.7313168214545161E+88</v>
      </c>
      <c r="E2025" s="4">
        <f>FacDevRevY1*(1+FacDevGrowth)^2023</f>
        <v>1.365658410727258E+88</v>
      </c>
      <c r="F2025" s="4">
        <f t="shared" si="124"/>
        <v>4.0969752321817743E+88</v>
      </c>
      <c r="G2025" s="4">
        <f t="shared" si="125"/>
        <v>4.0969752321817743E+88</v>
      </c>
      <c r="H2025" s="4">
        <f>SalaryFTECount*SalaryPerFTE*(1+SalaryGrowth)^2023</f>
        <v>6.034825213665508E+39</v>
      </c>
      <c r="I2025" s="4">
        <f>SimOpsY1*(1+SimOpsGrowth)^2023</f>
        <v>1.2398770028667881E+72</v>
      </c>
      <c r="J2025" s="4">
        <f>TrainDevY1*(1+TrainDevGrowth)^2023</f>
        <v>6.1993850143339404E+71</v>
      </c>
      <c r="K2025" s="4">
        <f>AdminY1*(1+AdminGrowth)^2023</f>
        <v>3.1246071793112009E+55</v>
      </c>
      <c r="L2025" s="4">
        <f t="shared" si="126"/>
        <v>1.859815504300182E+72</v>
      </c>
      <c r="M2025" s="4">
        <f t="shared" si="127"/>
        <v>4.0969752321817743E+88</v>
      </c>
    </row>
    <row r="2026" spans="1:13" x14ac:dyDescent="0.2">
      <c r="A2026" s="3">
        <f>StartYear+2024</f>
        <v>4049</v>
      </c>
      <c r="B2026" s="4">
        <f>FacultyFTE*HoursPerWeek*WeeksPerYear*RatePerHour*(1+PracticeGrowth)^2024</f>
        <v>2.2209245526277692E+48</v>
      </c>
      <c r="C2026" s="4">
        <f>StudentsY1*(1+StudentGrowth)^2024*CreditsPerStudent*TuitionPerCredit</f>
        <v>1.3880778453923558E+49</v>
      </c>
      <c r="D2026" s="4">
        <f>SimRevY1*(1+SimGrowth)^2024</f>
        <v>3.0044485035999671E+88</v>
      </c>
      <c r="E2026" s="4">
        <f>FacDevRevY1*(1+FacDevGrowth)^2024</f>
        <v>1.5022242517999836E+88</v>
      </c>
      <c r="F2026" s="4">
        <f t="shared" si="124"/>
        <v>4.5066727553999503E+88</v>
      </c>
      <c r="G2026" s="4">
        <f t="shared" si="125"/>
        <v>4.5066727553999503E+88</v>
      </c>
      <c r="H2026" s="4">
        <f>SalaryFTECount*SalaryPerFTE*(1+SalaryGrowth)^2024</f>
        <v>6.2762182222121311E+39</v>
      </c>
      <c r="I2026" s="4">
        <f>SimOpsY1*(1+SimOpsGrowth)^2024</f>
        <v>1.339067163096131E+72</v>
      </c>
      <c r="J2026" s="4">
        <f>TrainDevY1*(1+TrainDevGrowth)^2024</f>
        <v>6.6953358154806552E+71</v>
      </c>
      <c r="K2026" s="4">
        <f>AdminY1*(1+AdminGrowth)^2024</f>
        <v>3.3120836100698726E+55</v>
      </c>
      <c r="L2026" s="4">
        <f t="shared" si="126"/>
        <v>2.0086007446441967E+72</v>
      </c>
      <c r="M2026" s="4">
        <f t="shared" si="127"/>
        <v>4.5066727553999503E+88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3203125" defaultRowHeight="15" x14ac:dyDescent="0.2"/>
  <sheetData>
    <row r="1" spans="1:1" ht="16" x14ac:dyDescent="0.2">
      <c r="A1" s="5" t="s">
        <v>75</v>
      </c>
    </row>
    <row r="2" spans="1:1" x14ac:dyDescent="0.2">
      <c r="A2" s="1" t="s">
        <v>76</v>
      </c>
    </row>
    <row r="3" spans="1:1" x14ac:dyDescent="0.2">
      <c r="A3" s="1" t="s">
        <v>77</v>
      </c>
    </row>
    <row r="4" spans="1:1" x14ac:dyDescent="0.2">
      <c r="A4" s="1" t="s">
        <v>78</v>
      </c>
    </row>
    <row r="5" spans="1:1" x14ac:dyDescent="0.2">
      <c r="A5" s="1" t="s">
        <v>79</v>
      </c>
    </row>
    <row r="6" spans="1:1" x14ac:dyDescent="0.2">
      <c r="A6" s="1" t="s">
        <v>80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Assumptions</vt:lpstr>
      <vt:lpstr>Financial Pro Forma</vt:lpstr>
      <vt:lpstr>How to Use</vt:lpstr>
      <vt:lpstr>AdminGrowth</vt:lpstr>
      <vt:lpstr>AdminY1</vt:lpstr>
      <vt:lpstr>CreditsPerStudent</vt:lpstr>
      <vt:lpstr>FacDevGrowth</vt:lpstr>
      <vt:lpstr>FacDevRevY1</vt:lpstr>
      <vt:lpstr>FacultyFTE</vt:lpstr>
      <vt:lpstr>HoursPerWeek</vt:lpstr>
      <vt:lpstr>PracticeGrowth</vt:lpstr>
      <vt:lpstr>RatePerHour</vt:lpstr>
      <vt:lpstr>SalaryFTECount</vt:lpstr>
      <vt:lpstr>SalaryGrowth</vt:lpstr>
      <vt:lpstr>SalaryPerFTE</vt:lpstr>
      <vt:lpstr>SimGrowth</vt:lpstr>
      <vt:lpstr>SimOpsGrowth</vt:lpstr>
      <vt:lpstr>SimOpsY1</vt:lpstr>
      <vt:lpstr>SimRevY1</vt:lpstr>
      <vt:lpstr>StartYear</vt:lpstr>
      <vt:lpstr>StudentGrowth</vt:lpstr>
      <vt:lpstr>StudentsY1</vt:lpstr>
      <vt:lpstr>TrainDevGrowth</vt:lpstr>
      <vt:lpstr>TrainDevY1</vt:lpstr>
      <vt:lpstr>TuitionPerCredit</vt:lpstr>
      <vt:lpstr>WeeksPerYear</vt:lpstr>
      <vt:lpstr>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Genevieve Diesing</cp:lastModifiedBy>
  <dcterms:created xsi:type="dcterms:W3CDTF">2025-09-13T00:50:24Z</dcterms:created>
  <dcterms:modified xsi:type="dcterms:W3CDTF">2025-10-10T22:29:54Z</dcterms:modified>
</cp:coreProperties>
</file>